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G:\Meu Drive\COMERCIAL\VIPPIM VIGILÂNCIA\PREGÕES\2024\VIGILÂNCIA\ANA\DILIGÊNCIAS\Diligência envio 24.04.2024\"/>
    </mc:Choice>
  </mc:AlternateContent>
  <xr:revisionPtr revIDLastSave="0" documentId="8_{E079AA8F-0CC7-40C8-B9F1-C0C245CE4759}" xr6:coauthVersionLast="47" xr6:coauthVersionMax="47" xr10:uidLastSave="{00000000-0000-0000-0000-000000000000}"/>
  <bookViews>
    <workbookView xWindow="-120" yWindow="-120" windowWidth="20730" windowHeight="11160" tabRatio="500" xr2:uid="{00000000-000D-0000-FFFF-FFFF00000000}"/>
  </bookViews>
  <sheets>
    <sheet name="Proposta" sheetId="6" r:id="rId1"/>
    <sheet name="Resumo" sheetId="1" r:id="rId2"/>
    <sheet name="Memória de Cálculo ES" sheetId="7" r:id="rId3"/>
    <sheet name="Planilha de Custos" sheetId="5" r:id="rId4"/>
    <sheet name="Insumos" sheetId="2" r:id="rId5"/>
  </sheets>
  <externalReferences>
    <externalReference r:id="rId6"/>
  </externalReferences>
  <definedNames>
    <definedName name="_1Sem_nome" localSheetId="2">#REF!</definedName>
    <definedName name="_1Sem_nome" localSheetId="0">!#REF!</definedName>
    <definedName name="_1Sem_nome">!#REF!</definedName>
    <definedName name="_P1" localSheetId="2">#REF!</definedName>
    <definedName name="_P1" localSheetId="0">!#REF!</definedName>
    <definedName name="_P1">!#REF!</definedName>
    <definedName name="_P2" localSheetId="2">#REF!</definedName>
    <definedName name="_P2" localSheetId="0">!#REF!</definedName>
    <definedName name="_P2">!#REF!</definedName>
    <definedName name="_p3" localSheetId="2">#REF!</definedName>
    <definedName name="_p3" localSheetId="0">!#REF!</definedName>
    <definedName name="_p3">!#REF!</definedName>
    <definedName name="a">!#REF!</definedName>
    <definedName name="Area_2">!#REF!</definedName>
    <definedName name="_xlnm.Print_Area" localSheetId="2">'Memória de Cálculo ES'!$A$1:$Q$167</definedName>
    <definedName name="_xlnm.Print_Area" localSheetId="0">Proposta!$A$1:$K$54</definedName>
    <definedName name="_xlnm.Print_Area" localSheetId="1">Resumo!$A$1:$H$18</definedName>
    <definedName name="aREA1" localSheetId="2">!#REF!</definedName>
    <definedName name="aREA1">!#REF!</definedName>
    <definedName name="area2" localSheetId="2">!#REF!</definedName>
    <definedName name="area2">!#REF!</definedName>
    <definedName name="Area3" localSheetId="2">!#REF!</definedName>
    <definedName name="Area3">!#REF!</definedName>
    <definedName name="Area4" localSheetId="2">!#REF!</definedName>
    <definedName name="Area4">!#REF!</definedName>
    <definedName name="assisten">!#REF!</definedName>
    <definedName name="AUXILIAR">!#REF!</definedName>
    <definedName name="BuiltIn_Print_Area" localSheetId="2">#REF!</definedName>
    <definedName name="BuiltIn_Print_Area" localSheetId="0">!#REF!</definedName>
    <definedName name="BuiltIn_Print_Area">!#REF!</definedName>
    <definedName name="BuiltIn_Print_Area___0" localSheetId="2">#REF!</definedName>
    <definedName name="BuiltIn_Print_Area___0" localSheetId="0">!#REF!</definedName>
    <definedName name="BuiltIn_Print_Area___0">!#REF!</definedName>
    <definedName name="CHEFE" localSheetId="2">#REF!</definedName>
    <definedName name="CHEFE" localSheetId="0">!#REF!</definedName>
    <definedName name="CHEFE">!#REF!</definedName>
    <definedName name="Excel_BuiltIn_Print_Area">!#REF!</definedName>
    <definedName name="Excel_BuiltIn_Print_Area_1" localSheetId="2">#REF!</definedName>
    <definedName name="Excel_BuiltIn_Print_Area_1" localSheetId="0">!#REF!</definedName>
    <definedName name="Excel_BuiltIn_Print_Area_1">!#REF!</definedName>
    <definedName name="Excel_BuiltIn_Print_Area_2" localSheetId="2">#REF!</definedName>
    <definedName name="Excel_BuiltIn_Print_Area_2" localSheetId="0">!#REF!</definedName>
    <definedName name="Excel_BuiltIn_Print_Area_2">!#REF!</definedName>
    <definedName name="Excel_um">!#REF!</definedName>
    <definedName name="luciene" localSheetId="2">#REF!</definedName>
    <definedName name="luciene" localSheetId="0">!#REF!</definedName>
    <definedName name="luciene">!#REF!</definedName>
    <definedName name="Pintor">!#REF!</definedName>
    <definedName name="Pintor1">!#REF!</definedName>
    <definedName name="Po" localSheetId="2">#REF!</definedName>
    <definedName name="Po" localSheetId="0">!#REF!</definedName>
    <definedName name="Po">!#REF!</definedName>
    <definedName name="Print_Area_0" localSheetId="1">Resumo!$A$1:$H$18</definedName>
    <definedName name="Print_Area_0_0" localSheetId="1">Resumo!$A$1:$H$18</definedName>
    <definedName name="Print_Area_0_0_0" localSheetId="1">Resumo!$A$1:$H$18</definedName>
    <definedName name="recepcionista" localSheetId="2">!#REF!</definedName>
    <definedName name="recepcionista">!#REF!</definedName>
    <definedName name="ssss" localSheetId="2">#REF!</definedName>
    <definedName name="ssss" localSheetId="0">!#REF!</definedName>
    <definedName name="ssss">!#REF!</definedName>
    <definedName name="sssss" localSheetId="2">#REF!</definedName>
    <definedName name="sssss" localSheetId="0">!#REF!</definedName>
    <definedName name="sssss">!#REF!</definedName>
    <definedName name="To" localSheetId="2">#REF!</definedName>
    <definedName name="To" localSheetId="0">!#REF!</definedName>
    <definedName name="To">!#REF!</definedName>
    <definedName name="um">!#REF!</definedName>
    <definedName name="UN" localSheetId="0">!#REF!</definedName>
    <definedName name="UN">!#REF!</definedName>
    <definedName name="vvvv" localSheetId="2">#REF!</definedName>
    <definedName name="vvvv" localSheetId="0">!#REF!</definedName>
    <definedName name="vvvv">!#REF!</definedName>
  </definedNames>
  <calcPr calcId="191029" iterate="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77" i="5" l="1"/>
  <c r="F77" i="5"/>
  <c r="E77" i="5"/>
  <c r="D77" i="5"/>
  <c r="C77" i="5"/>
  <c r="B74" i="5"/>
  <c r="B71" i="5"/>
  <c r="C61" i="5"/>
  <c r="G54" i="5"/>
  <c r="F54" i="5"/>
  <c r="E54" i="5"/>
  <c r="D54" i="5"/>
  <c r="C54" i="5"/>
  <c r="G44" i="5"/>
  <c r="F44" i="5"/>
  <c r="E44" i="5"/>
  <c r="D44" i="5"/>
  <c r="C44" i="5"/>
  <c r="G38" i="5"/>
  <c r="F38" i="5"/>
  <c r="E38" i="5"/>
  <c r="D38" i="5"/>
  <c r="C38" i="5"/>
  <c r="C57" i="5"/>
  <c r="I91" i="5"/>
  <c r="G24" i="2"/>
  <c r="G14" i="2"/>
  <c r="E24" i="2" l="1"/>
  <c r="E14" i="2"/>
  <c r="E107" i="7"/>
  <c r="B86" i="5"/>
  <c r="B85" i="5"/>
  <c r="B84" i="5"/>
  <c r="B83" i="5"/>
  <c r="B82" i="5"/>
  <c r="B81" i="5"/>
  <c r="F61" i="2"/>
  <c r="F58" i="2"/>
  <c r="F57" i="2"/>
  <c r="F60" i="2"/>
  <c r="E92" i="7"/>
  <c r="B72" i="5"/>
  <c r="E91" i="7"/>
  <c r="G71" i="7"/>
  <c r="L54" i="7"/>
  <c r="K146" i="7"/>
  <c r="M146" i="7" s="1"/>
  <c r="K145" i="7"/>
  <c r="M145" i="7" s="1"/>
  <c r="M144" i="7"/>
  <c r="K144" i="7"/>
  <c r="K143" i="7"/>
  <c r="M143" i="7" s="1"/>
  <c r="K142" i="7"/>
  <c r="M142" i="7" s="1"/>
  <c r="K141" i="7"/>
  <c r="M141" i="7" s="1"/>
  <c r="K140" i="7"/>
  <c r="M140" i="7" s="1"/>
  <c r="K139" i="7"/>
  <c r="M139" i="7" s="1"/>
  <c r="K138" i="7"/>
  <c r="M138" i="7" s="1"/>
  <c r="K137" i="7"/>
  <c r="M137" i="7" s="1"/>
  <c r="J126" i="7"/>
  <c r="M126" i="7" s="1"/>
  <c r="J125" i="7"/>
  <c r="M125" i="7" s="1"/>
  <c r="J124" i="7"/>
  <c r="M124" i="7" s="1"/>
  <c r="J123" i="7"/>
  <c r="M123" i="7" s="1"/>
  <c r="J122" i="7"/>
  <c r="M122" i="7" s="1"/>
  <c r="J121" i="7"/>
  <c r="M121" i="7" s="1"/>
  <c r="J120" i="7"/>
  <c r="M120" i="7" s="1"/>
  <c r="J119" i="7"/>
  <c r="M119" i="7" s="1"/>
  <c r="R95" i="7"/>
  <c r="G70" i="7"/>
  <c r="L62" i="7"/>
  <c r="H60" i="7"/>
  <c r="L60" i="7" s="1"/>
  <c r="G60" i="7"/>
  <c r="H59" i="7"/>
  <c r="L59" i="7" s="1"/>
  <c r="G59" i="7"/>
  <c r="H52" i="7"/>
  <c r="L52" i="7" s="1"/>
  <c r="H51" i="7"/>
  <c r="L51" i="7" s="1"/>
  <c r="E44" i="7"/>
  <c r="E43" i="7"/>
  <c r="E42" i="7"/>
  <c r="E41" i="7"/>
  <c r="E40" i="7"/>
  <c r="E39" i="7"/>
  <c r="E38" i="7"/>
  <c r="E37" i="7"/>
  <c r="R3" i="7"/>
  <c r="E45" i="7" l="1"/>
  <c r="E94" i="7" s="1"/>
  <c r="E96" i="7" s="1"/>
  <c r="L70" i="7"/>
  <c r="L61" i="7"/>
  <c r="L63" i="7" s="1"/>
  <c r="L53" i="7"/>
  <c r="L55" i="7" s="1"/>
  <c r="C56" i="5" s="1"/>
  <c r="C62" i="5" s="1"/>
  <c r="J127" i="7"/>
  <c r="K147" i="7"/>
  <c r="B87" i="5"/>
  <c r="L71" i="7"/>
  <c r="E33" i="7"/>
  <c r="E34" i="7" s="1"/>
  <c r="M127" i="7"/>
  <c r="M147" i="7"/>
  <c r="M148" i="7" s="1"/>
  <c r="G56" i="5" l="1"/>
  <c r="F56" i="5"/>
  <c r="E56" i="5"/>
  <c r="D56" i="5"/>
  <c r="G57" i="5"/>
  <c r="F57" i="5"/>
  <c r="E57" i="5"/>
  <c r="D57" i="5"/>
  <c r="B73" i="5"/>
  <c r="G16" i="5"/>
  <c r="F16" i="5"/>
  <c r="E16" i="5"/>
  <c r="D16" i="5"/>
  <c r="C16" i="5"/>
  <c r="C59" i="5"/>
  <c r="G24" i="6"/>
  <c r="G23" i="6"/>
  <c r="G22" i="6"/>
  <c r="G21" i="6"/>
  <c r="E59" i="2"/>
  <c r="F59" i="2" s="1"/>
  <c r="F62" i="2" s="1"/>
  <c r="F23" i="2"/>
  <c r="F22" i="2"/>
  <c r="F21" i="2"/>
  <c r="F20" i="2"/>
  <c r="F19" i="2"/>
  <c r="F18" i="2"/>
  <c r="F12" i="2"/>
  <c r="F28" i="2"/>
  <c r="F29" i="2"/>
  <c r="G29" i="2" s="1"/>
  <c r="F30" i="2"/>
  <c r="G30" i="2" s="1"/>
  <c r="F31" i="2"/>
  <c r="G31" i="2" s="1"/>
  <c r="F52" i="2"/>
  <c r="G52" i="2" s="1"/>
  <c r="F51" i="2"/>
  <c r="G51" i="2" s="1"/>
  <c r="F50" i="2"/>
  <c r="G50" i="2" s="1"/>
  <c r="F49" i="2"/>
  <c r="G49" i="2" s="1"/>
  <c r="F48" i="2"/>
  <c r="G48" i="2" s="1"/>
  <c r="F47" i="2"/>
  <c r="G47" i="2" s="1"/>
  <c r="F46" i="2"/>
  <c r="G46" i="2" s="1"/>
  <c r="F45" i="2"/>
  <c r="G45" i="2" s="1"/>
  <c r="F44" i="2"/>
  <c r="F38" i="2"/>
  <c r="G38" i="2" s="1"/>
  <c r="F37" i="2"/>
  <c r="G37" i="2" s="1"/>
  <c r="F36" i="2"/>
  <c r="G36" i="2" s="1"/>
  <c r="F35" i="2"/>
  <c r="G35" i="2" s="1"/>
  <c r="F34" i="2"/>
  <c r="G34" i="2" s="1"/>
  <c r="F33" i="2"/>
  <c r="G33" i="2" s="1"/>
  <c r="F32" i="2"/>
  <c r="G32" i="2" s="1"/>
  <c r="B31" i="5"/>
  <c r="G31" i="5" s="1"/>
  <c r="E17" i="1"/>
  <c r="F25" i="6"/>
  <c r="F102" i="5" l="1"/>
  <c r="G44" i="2"/>
  <c r="G53" i="2" s="1"/>
  <c r="G54" i="2" s="1"/>
  <c r="G25" i="6"/>
  <c r="E62" i="2"/>
  <c r="F53" i="2" s="1"/>
  <c r="G32" i="5"/>
  <c r="F39" i="2"/>
  <c r="F24" i="2"/>
  <c r="C99" i="5" s="1"/>
  <c r="G28" i="2"/>
  <c r="G39" i="2" s="1"/>
  <c r="G40" i="2" s="1"/>
  <c r="B100" i="5" s="1"/>
  <c r="F100" i="5" l="1"/>
  <c r="E100" i="5"/>
  <c r="D100" i="5"/>
  <c r="C100" i="5"/>
  <c r="G100" i="5"/>
  <c r="F13" i="2"/>
  <c r="F11" i="2"/>
  <c r="F10" i="2"/>
  <c r="F9" i="2"/>
  <c r="F8" i="2"/>
  <c r="F7" i="2"/>
  <c r="F6" i="2"/>
  <c r="F5" i="2"/>
  <c r="A16" i="5"/>
  <c r="A2" i="5"/>
  <c r="B101" i="5" l="1"/>
  <c r="G101" i="5"/>
  <c r="G103" i="5" s="1"/>
  <c r="F101" i="5"/>
  <c r="F103" i="5" s="1"/>
  <c r="C101" i="5"/>
  <c r="C103" i="5" s="1"/>
  <c r="E101" i="5"/>
  <c r="E103" i="5" s="1"/>
  <c r="D101" i="5"/>
  <c r="D103" i="5" s="1"/>
  <c r="F14" i="2"/>
  <c r="F99" i="5" l="1"/>
  <c r="G99" i="5"/>
  <c r="E99" i="5"/>
  <c r="D99" i="5"/>
  <c r="F61" i="5"/>
  <c r="F62" i="5" s="1"/>
  <c r="B109" i="5" l="1"/>
  <c r="E102" i="5"/>
  <c r="D102" i="5"/>
  <c r="C102" i="5"/>
  <c r="C90" i="5"/>
  <c r="C94" i="5" s="1"/>
  <c r="E61" i="5"/>
  <c r="E62" i="5" s="1"/>
  <c r="D61" i="5"/>
  <c r="D62" i="5" s="1"/>
  <c r="D59" i="5"/>
  <c r="E59" i="5" s="1"/>
  <c r="F59" i="5" s="1"/>
  <c r="G59" i="5" s="1"/>
  <c r="E58" i="5"/>
  <c r="D58" i="5"/>
  <c r="C58" i="5"/>
  <c r="B54" i="5"/>
  <c r="B42" i="5"/>
  <c r="D31" i="5"/>
  <c r="B132" i="5"/>
  <c r="B131" i="5"/>
  <c r="B133" i="5"/>
  <c r="G61" i="5" l="1"/>
  <c r="G58" i="5"/>
  <c r="F58" i="5"/>
  <c r="B65" i="5"/>
  <c r="B75" i="5"/>
  <c r="B77" i="5" s="1"/>
  <c r="H77" i="5" s="1"/>
  <c r="G102" i="5"/>
  <c r="H87" i="5"/>
  <c r="E31" i="5"/>
  <c r="D32" i="5"/>
  <c r="G62" i="5" l="1"/>
  <c r="G66" i="5" s="1"/>
  <c r="G67" i="5" s="1"/>
  <c r="D84" i="5"/>
  <c r="D81" i="5"/>
  <c r="D83" i="5"/>
  <c r="D85" i="5"/>
  <c r="D82" i="5"/>
  <c r="F31" i="5"/>
  <c r="D119" i="5"/>
  <c r="F123" i="5"/>
  <c r="G35" i="5"/>
  <c r="G34" i="5"/>
  <c r="B44" i="5"/>
  <c r="H90" i="5" s="1"/>
  <c r="H92" i="5" s="1"/>
  <c r="B93" i="5"/>
  <c r="D71" i="5"/>
  <c r="D74" i="5"/>
  <c r="D42" i="5"/>
  <c r="C32" i="5"/>
  <c r="D43" i="5"/>
  <c r="E32" i="5"/>
  <c r="C123" i="5"/>
  <c r="G81" i="5" l="1"/>
  <c r="G84" i="5"/>
  <c r="G82" i="5"/>
  <c r="G85" i="5"/>
  <c r="G83" i="5"/>
  <c r="C82" i="5"/>
  <c r="C81" i="5"/>
  <c r="C83" i="5"/>
  <c r="C84" i="5"/>
  <c r="C85" i="5"/>
  <c r="D46" i="5"/>
  <c r="B64" i="5"/>
  <c r="B67" i="5" s="1"/>
  <c r="H91" i="5"/>
  <c r="E34" i="5"/>
  <c r="D72" i="5"/>
  <c r="D76" i="5"/>
  <c r="D73" i="5"/>
  <c r="D75" i="5"/>
  <c r="D89" i="5"/>
  <c r="G89" i="5" s="1"/>
  <c r="G90" i="5" s="1"/>
  <c r="F32" i="5"/>
  <c r="G123" i="5"/>
  <c r="G73" i="5"/>
  <c r="G71" i="5"/>
  <c r="G119" i="5"/>
  <c r="G74" i="5"/>
  <c r="G76" i="5"/>
  <c r="G42" i="5"/>
  <c r="G75" i="5"/>
  <c r="G72" i="5"/>
  <c r="G43" i="5"/>
  <c r="C42" i="5"/>
  <c r="E35" i="5"/>
  <c r="D123" i="5"/>
  <c r="G121" i="5" l="1"/>
  <c r="D121" i="5"/>
  <c r="F37" i="5"/>
  <c r="F35" i="5" s="1"/>
  <c r="G64" i="5"/>
  <c r="F34" i="5"/>
  <c r="F66" i="5"/>
  <c r="F67" i="5" s="1"/>
  <c r="E72" i="5"/>
  <c r="E123" i="5"/>
  <c r="C76" i="5"/>
  <c r="C119" i="5"/>
  <c r="C71" i="5"/>
  <c r="C75" i="5"/>
  <c r="C74" i="5"/>
  <c r="C73" i="5"/>
  <c r="C43" i="5"/>
  <c r="C72" i="5"/>
  <c r="D50" i="5"/>
  <c r="D53" i="5"/>
  <c r="D48" i="5"/>
  <c r="D49" i="5"/>
  <c r="D51" i="5"/>
  <c r="D52" i="5"/>
  <c r="D47" i="5"/>
  <c r="D64" i="5"/>
  <c r="C46" i="5" l="1"/>
  <c r="C47" i="5"/>
  <c r="E81" i="5"/>
  <c r="E82" i="5"/>
  <c r="E85" i="5"/>
  <c r="E83" i="5"/>
  <c r="E84" i="5"/>
  <c r="C48" i="5"/>
  <c r="G47" i="5"/>
  <c r="G50" i="5"/>
  <c r="G52" i="5"/>
  <c r="G51" i="5"/>
  <c r="G49" i="5"/>
  <c r="G48" i="5"/>
  <c r="G53" i="5"/>
  <c r="G46" i="5"/>
  <c r="E74" i="5"/>
  <c r="E42" i="5"/>
  <c r="E71" i="5"/>
  <c r="E119" i="5"/>
  <c r="E89" i="5"/>
  <c r="E76" i="5"/>
  <c r="E73" i="5"/>
  <c r="E43" i="5"/>
  <c r="E75" i="5"/>
  <c r="D65" i="5"/>
  <c r="C64" i="5"/>
  <c r="C50" i="5"/>
  <c r="C51" i="5"/>
  <c r="C49" i="5"/>
  <c r="C52" i="5"/>
  <c r="C53" i="5"/>
  <c r="E121" i="5" l="1"/>
  <c r="C65" i="5"/>
  <c r="G65" i="5"/>
  <c r="E48" i="5"/>
  <c r="C121" i="5"/>
  <c r="E47" i="5"/>
  <c r="G120" i="5" l="1"/>
  <c r="E46" i="5"/>
  <c r="E64" i="5"/>
  <c r="E53" i="5"/>
  <c r="E50" i="5"/>
  <c r="E52" i="5"/>
  <c r="E49" i="5"/>
  <c r="E51" i="5"/>
  <c r="E65" i="5" l="1"/>
  <c r="C66" i="5" l="1"/>
  <c r="C67" i="5" s="1"/>
  <c r="D66" i="5"/>
  <c r="D67" i="5" s="1"/>
  <c r="E66" i="5"/>
  <c r="E67" i="5" s="1"/>
  <c r="E90" i="5" l="1"/>
  <c r="D90" i="5"/>
  <c r="C86" i="5"/>
  <c r="C87" i="5" s="1"/>
  <c r="C120" i="5"/>
  <c r="D86" i="5" l="1"/>
  <c r="D87" i="5" s="1"/>
  <c r="C93" i="5"/>
  <c r="C95" i="5" s="1"/>
  <c r="D120" i="5"/>
  <c r="E120" i="5"/>
  <c r="E86" i="5" l="1"/>
  <c r="C122" i="5"/>
  <c r="C107" i="5"/>
  <c r="E87" i="5" l="1"/>
  <c r="E93" i="5" s="1"/>
  <c r="E95" i="5" s="1"/>
  <c r="C124" i="5"/>
  <c r="D93" i="5"/>
  <c r="D95" i="5" s="1"/>
  <c r="C108" i="5"/>
  <c r="E107" i="5" l="1"/>
  <c r="E108" i="5" s="1"/>
  <c r="E122" i="5"/>
  <c r="E124" i="5" s="1"/>
  <c r="C111" i="5"/>
  <c r="C109" i="5"/>
  <c r="C115" i="5" s="1"/>
  <c r="D122" i="5"/>
  <c r="D107" i="5"/>
  <c r="C113" i="5"/>
  <c r="C110" i="5"/>
  <c r="D124" i="5" l="1"/>
  <c r="C125" i="5"/>
  <c r="D108" i="5"/>
  <c r="D113" i="5" s="1"/>
  <c r="E109" i="5"/>
  <c r="E115" i="5" s="1"/>
  <c r="E110" i="5"/>
  <c r="E113" i="5"/>
  <c r="E111" i="5"/>
  <c r="C126" i="5" l="1"/>
  <c r="D111" i="5"/>
  <c r="D109" i="5"/>
  <c r="D115" i="5" s="1"/>
  <c r="D110" i="5"/>
  <c r="E125" i="5"/>
  <c r="C130" i="5" l="1"/>
  <c r="F12" i="1" s="1"/>
  <c r="G12" i="1" s="1"/>
  <c r="H20" i="6"/>
  <c r="I20" i="6" s="1"/>
  <c r="J20" i="6" s="1"/>
  <c r="C127" i="5"/>
  <c r="E126" i="5"/>
  <c r="C132" i="5" s="1"/>
  <c r="D125" i="5"/>
  <c r="D130" i="5" l="1"/>
  <c r="H12" i="1"/>
  <c r="K20" i="6"/>
  <c r="H22" i="6"/>
  <c r="I22" i="6" s="1"/>
  <c r="J22" i="6" s="1"/>
  <c r="K22" i="6" s="1"/>
  <c r="E127" i="5"/>
  <c r="F14" i="1"/>
  <c r="G14" i="1" s="1"/>
  <c r="H14" i="1" s="1"/>
  <c r="D132" i="5"/>
  <c r="D126" i="5"/>
  <c r="D127" i="5" s="1"/>
  <c r="H21" i="6" l="1"/>
  <c r="I21" i="6" s="1"/>
  <c r="J21" i="6" s="1"/>
  <c r="C131" i="5"/>
  <c r="K21" i="6" l="1"/>
  <c r="F13" i="1"/>
  <c r="G13" i="1" s="1"/>
  <c r="D131" i="5"/>
  <c r="F76" i="5"/>
  <c r="F119" i="5"/>
  <c r="F81" i="5"/>
  <c r="F75" i="5"/>
  <c r="F71" i="5"/>
  <c r="F82" i="5"/>
  <c r="F89" i="5"/>
  <c r="F90" i="5" s="1"/>
  <c r="F94" i="5" s="1"/>
  <c r="F42" i="5"/>
  <c r="F72" i="5"/>
  <c r="F83" i="5"/>
  <c r="F43" i="5"/>
  <c r="F73" i="5"/>
  <c r="F84" i="5"/>
  <c r="F74" i="5"/>
  <c r="F85" i="5"/>
  <c r="H13" i="1" l="1"/>
  <c r="F64" i="5"/>
  <c r="F52" i="5"/>
  <c r="F51" i="5"/>
  <c r="F49" i="5"/>
  <c r="F48" i="5"/>
  <c r="F53" i="5"/>
  <c r="F50" i="5"/>
  <c r="F121" i="5"/>
  <c r="F47" i="5"/>
  <c r="F46" i="5" l="1"/>
  <c r="F65" i="5"/>
  <c r="F120" i="5" l="1"/>
  <c r="F86" i="5"/>
  <c r="F87" i="5" s="1"/>
  <c r="G86" i="5" l="1"/>
  <c r="F93" i="5"/>
  <c r="F95" i="5" s="1"/>
  <c r="G87" i="5" l="1"/>
  <c r="G93" i="5" s="1"/>
  <c r="G95" i="5" s="1"/>
  <c r="F122" i="5"/>
  <c r="F107" i="5"/>
  <c r="G107" i="5" l="1"/>
  <c r="G108" i="5" s="1"/>
  <c r="G122" i="5"/>
  <c r="F108" i="5"/>
  <c r="F109" i="5" s="1"/>
  <c r="G124" i="5"/>
  <c r="F124" i="5"/>
  <c r="G111" i="5" l="1"/>
  <c r="G109" i="5"/>
  <c r="G115" i="5" s="1"/>
  <c r="G125" i="5" s="1"/>
  <c r="G126" i="5" s="1"/>
  <c r="H24" i="6" s="1"/>
  <c r="I24" i="6" s="1"/>
  <c r="J24" i="6" s="1"/>
  <c r="K24" i="6" s="1"/>
  <c r="G110" i="5"/>
  <c r="G113" i="5"/>
  <c r="F110" i="5"/>
  <c r="F115" i="5"/>
  <c r="F125" i="5" s="1"/>
  <c r="F126" i="5" s="1"/>
  <c r="F127" i="5" s="1"/>
  <c r="F113" i="5"/>
  <c r="F111" i="5"/>
  <c r="H23" i="6" l="1"/>
  <c r="I23" i="6" s="1"/>
  <c r="J23" i="6" s="1"/>
  <c r="K23" i="6" s="1"/>
  <c r="K25" i="6" s="1"/>
  <c r="C133" i="5"/>
  <c r="F15" i="1" s="1"/>
  <c r="G15" i="1" s="1"/>
  <c r="C134" i="5"/>
  <c r="D134" i="5" s="1"/>
  <c r="G127" i="5"/>
  <c r="D133" i="5" l="1"/>
  <c r="D135" i="5" s="1"/>
  <c r="D136" i="5" s="1"/>
  <c r="J25" i="6"/>
  <c r="F16" i="1"/>
  <c r="G16" i="1" s="1"/>
  <c r="H16" i="1" s="1"/>
  <c r="H15" i="1"/>
  <c r="H17" i="1" l="1"/>
  <c r="K29" i="6" s="1"/>
  <c r="H119" i="5" s="1"/>
  <c r="G17" i="1"/>
  <c r="K26" i="6" s="1"/>
</calcChain>
</file>

<file path=xl/sharedStrings.xml><?xml version="1.0" encoding="utf-8"?>
<sst xmlns="http://schemas.openxmlformats.org/spreadsheetml/2006/main" count="681" uniqueCount="445">
  <si>
    <t>PLANILHA ESTIMATIVA</t>
  </si>
  <si>
    <t xml:space="preserve">PREGÃO ELETRÔNICO Nº </t>
  </si>
  <si>
    <t xml:space="preserve">DATA DA ABERTURA: </t>
  </si>
  <si>
    <t>Conforme Termo de Referência.</t>
  </si>
  <si>
    <t>RESUMO GERAL</t>
  </si>
  <si>
    <t>DESCRIÇÃO</t>
  </si>
  <si>
    <t>VALOR MENSAL</t>
  </si>
  <si>
    <t xml:space="preserve">VALOR GLOBAL     </t>
  </si>
  <si>
    <t>CÁLCULO DOS INSUMOS</t>
  </si>
  <si>
    <t>ESTIMATIVA ANUAL DE UNIFORMES POR VIGILANTE</t>
  </si>
  <si>
    <t>ITEM</t>
  </si>
  <si>
    <t>DISCRIMINAÇÃO</t>
  </si>
  <si>
    <t>UNIDADE</t>
  </si>
  <si>
    <t>QTDE</t>
  </si>
  <si>
    <t>Calça</t>
  </si>
  <si>
    <t>par</t>
  </si>
  <si>
    <t>CUSTO MENSAL DE UNIFORMES</t>
  </si>
  <si>
    <t>VALOR UNITÁRIO</t>
  </si>
  <si>
    <t>Total</t>
  </si>
  <si>
    <t xml:space="preserve">Valor (R$) </t>
  </si>
  <si>
    <t>Nº do Processo:</t>
  </si>
  <si>
    <t>Pregão Eletrônico nº</t>
  </si>
  <si>
    <t>Data:</t>
  </si>
  <si>
    <t>Discriminação dos Serviços (dados referentes à contratação)</t>
  </si>
  <si>
    <t>Brasília – DF</t>
  </si>
  <si>
    <t>Identificação do Serviço</t>
  </si>
  <si>
    <t>Tipo de Serviço</t>
  </si>
  <si>
    <t>Unid. de Medida</t>
  </si>
  <si>
    <t>Mão de obra vinculada à execução contratual</t>
  </si>
  <si>
    <t>Dados para composição dos custos referente à mão de obra</t>
  </si>
  <si>
    <t>Vigilância</t>
  </si>
  <si>
    <t>Vigilante</t>
  </si>
  <si>
    <t>01 de janeiro</t>
  </si>
  <si>
    <t>CUSTOS</t>
  </si>
  <si>
    <t>Percentuais e Valores de Referência</t>
  </si>
  <si>
    <t>MÓDULO 1: COMPOSIÇÃO DA REMUNERAÇÃO</t>
  </si>
  <si>
    <t>1 - Composição da Remuneração</t>
  </si>
  <si>
    <t>Valores/ Percentuais</t>
  </si>
  <si>
    <t xml:space="preserve">    C - Adicional de Insalubridade</t>
  </si>
  <si>
    <t xml:space="preserve">    D - Adicional Noturno</t>
  </si>
  <si>
    <t xml:space="preserve">    E - Adicional de Hora Noturna Reduzida</t>
  </si>
  <si>
    <t xml:space="preserve">    F - Penosidade</t>
  </si>
  <si>
    <t xml:space="preserve">    G - Outros</t>
  </si>
  <si>
    <t>MÓDULO 2: ENCARGOS E BENEFÍCIOS ANUAIS, MENSAIS E DIÁRIOS</t>
  </si>
  <si>
    <t>2.1 - 13º Salário, Férias e Adicional de Férias</t>
  </si>
  <si>
    <t>Percentuais</t>
  </si>
  <si>
    <t xml:space="preserve">    A - 13º salário</t>
  </si>
  <si>
    <t xml:space="preserve">    A - INSS</t>
  </si>
  <si>
    <t xml:space="preserve">    B - Salário Educação</t>
  </si>
  <si>
    <t xml:space="preserve">    D - SESI ou SESC</t>
  </si>
  <si>
    <t xml:space="preserve">    E - SENAI ou SENAC</t>
  </si>
  <si>
    <t xml:space="preserve">    F - SEBRAE</t>
  </si>
  <si>
    <t xml:space="preserve">    G - INCRA</t>
  </si>
  <si>
    <t xml:space="preserve">    F - FGTS</t>
  </si>
  <si>
    <t>2.3 - Benefícios Mensais e Diários</t>
  </si>
  <si>
    <t>2 - Encargos e Benefícios Anuais, Mensais e Diários</t>
  </si>
  <si>
    <t xml:space="preserve">    2.1 - 13º Salário, Férias e Adicional de Férias</t>
  </si>
  <si>
    <t xml:space="preserve">    2.2 - GPS, FGTS e outras contribuições</t>
  </si>
  <si>
    <t xml:space="preserve">    2.3 - Benefícios Mensais e Diários</t>
  </si>
  <si>
    <t>MÓDULO 3: PROVISÃO PARA RESCISÃO</t>
  </si>
  <si>
    <t>3 - Provisão para Rescisão</t>
  </si>
  <si>
    <t xml:space="preserve">    B - Incidência do FGTS sobre Aviso Prévio Indenizado</t>
  </si>
  <si>
    <t xml:space="preserve">    C - Multa do FGTS e contribuições sociais sobre o Aviso Prévio Indenizado</t>
  </si>
  <si>
    <t xml:space="preserve">    E - Incidência de GPS, FGTS e outras contribuições (submódulo 2.2) sobre o Aviso Prévio Trabalhado</t>
  </si>
  <si>
    <t xml:space="preserve">    F - Multa do FGTS sobre o Aviso Prévio Trabalhado (Rescisões sem justa causa)</t>
  </si>
  <si>
    <t>MÓDULO 4: CUSTO DE REPOSIÇÃO DO PROFISSIONAL AUSENTE</t>
  </si>
  <si>
    <t>4.1 – Substituto nas Ausências Legais</t>
  </si>
  <si>
    <t xml:space="preserve">    A – Substituto na cobertura de Férias</t>
  </si>
  <si>
    <t xml:space="preserve">    B – Substituto na cobertura de ausências Legais</t>
  </si>
  <si>
    <t xml:space="preserve">    C - Substituto na cobertura na licença-paternidade</t>
  </si>
  <si>
    <t xml:space="preserve">    D - Substituto na cobertura na ausências por acidente de trabalho</t>
  </si>
  <si>
    <t xml:space="preserve">    E - Substituto na cobertura de afastamento maternidade</t>
  </si>
  <si>
    <t>4.2 - Substituto na Intrajornada (Indenizada)</t>
  </si>
  <si>
    <t>4 - Custo de Reposição do Profissional Ausente</t>
  </si>
  <si>
    <t xml:space="preserve">    4.1 - Substituto nas ausências Legais</t>
  </si>
  <si>
    <t xml:space="preserve">    4.2 - Intrajornada indenizada</t>
  </si>
  <si>
    <t>MÓDULO 5: INSUMOS DIVERSOS</t>
  </si>
  <si>
    <t>5 - Insumos Diversos</t>
  </si>
  <si>
    <t xml:space="preserve">    A - Uniformes</t>
  </si>
  <si>
    <t>MÓDULO 6: CUSTOS INDIRETOS, TRIBUTOS E LUCRO</t>
  </si>
  <si>
    <t>6 - Custos Indiretos, Tributos e Lucro</t>
  </si>
  <si>
    <t xml:space="preserve">    A - Custos Indiretos</t>
  </si>
  <si>
    <t xml:space="preserve">    B - Lucro</t>
  </si>
  <si>
    <t xml:space="preserve">        C.2 - Tributos Estaduais (especificar)</t>
  </si>
  <si>
    <t xml:space="preserve">        C.3 - Tributos Municipais (especificar)</t>
  </si>
  <si>
    <t xml:space="preserve">        C.4 - Outros Tributos (especificar)</t>
  </si>
  <si>
    <t>QUADRO RESUMO DO CUSTO POR EMPREGADO</t>
  </si>
  <si>
    <t>Mão-de-obra vinculada à execução contratual (valor por empregado)</t>
  </si>
  <si>
    <t xml:space="preserve">    A - Módulo 1 - Composição da Remuneração</t>
  </si>
  <si>
    <t xml:space="preserve">    B - Módulo 2 - Encargos e Benefícios Anuais, Mensais e Diários</t>
  </si>
  <si>
    <t xml:space="preserve">    C - Módulo 3 - Provisão para Rescisão</t>
  </si>
  <si>
    <t xml:space="preserve">    D - Módulo 4 - Custos de Reposição do Profissional Ausente</t>
  </si>
  <si>
    <t xml:space="preserve">    E - Módulo 5 - Insumos Diversos</t>
  </si>
  <si>
    <t>Subtotal (A + B + C + D + E)</t>
  </si>
  <si>
    <t xml:space="preserve">    F - Módulo 6 - Custos Indiretos, Tributos e Lucro</t>
  </si>
  <si>
    <t>SUBTOTAL PREÇO FIXO POR VIGILANTE</t>
  </si>
  <si>
    <t>VALOR DOS SERVIÇOS</t>
  </si>
  <si>
    <t>ESCALA DE TRABALHO</t>
  </si>
  <si>
    <t>NUMERO DE POSTOS</t>
  </si>
  <si>
    <t>PREÇO POR POSTO</t>
  </si>
  <si>
    <t>SUBTOTAL (R$)</t>
  </si>
  <si>
    <t>TOTAL MENSAL</t>
  </si>
  <si>
    <t>Posto 12X36 Diurnas (Qtde)</t>
  </si>
  <si>
    <t>Posto 12X36 Noturno (Qtde)</t>
  </si>
  <si>
    <t>Posto</t>
  </si>
  <si>
    <t>DF000178/2023</t>
  </si>
  <si>
    <t xml:space="preserve">    A – Salário Normativo</t>
  </si>
  <si>
    <t xml:space="preserve">    B - Adicional de Periculosidade</t>
  </si>
  <si>
    <t xml:space="preserve">    A – Transporte (Jornada igual ou superior a 6 horas)</t>
  </si>
  <si>
    <t xml:space="preserve">    B – Auxílio Alimentação (Por dia trabalhado)</t>
  </si>
  <si>
    <t xml:space="preserve">    C – Plano de Saúde</t>
  </si>
  <si>
    <t xml:space="preserve">    D – Fundo Social e Odontológico</t>
  </si>
  <si>
    <t xml:space="preserve">    E – Auxílio Morte/Funeral (Seguro de Vida)</t>
  </si>
  <si>
    <t>Valores</t>
  </si>
  <si>
    <t xml:space="preserve">    C - Tributos (Percentuais de acordo com o regime tributário da empresa)</t>
  </si>
  <si>
    <t xml:space="preserve">        C.1.1 - Tributos Federais (COFINS)</t>
  </si>
  <si>
    <t xml:space="preserve">        C.1.2 - Tributos Federais (PIS)</t>
  </si>
  <si>
    <t>uma</t>
  </si>
  <si>
    <t>um</t>
  </si>
  <si>
    <t xml:space="preserve">    B - Materiais (Valor por vigilante)</t>
  </si>
  <si>
    <t>35014.054484/2023-37</t>
  </si>
  <si>
    <t>Contratação de serviços de segurança e vigilância orgânica e patrimonial desarmada, visando atender as demandas da Administração Central do INSS em Brasília/DF, conforme condições, quantidades e exigências estabelecidas neste instrumento convocatório.</t>
  </si>
  <si>
    <t>Planilha Estimativa de Custos e Formação de Preços para Serviços de Vigilância - Administração Central do INSS em Brasília/DF</t>
  </si>
  <si>
    <t>INSS - ADMINISTRAÇÃO CENTRAL</t>
  </si>
  <si>
    <t>QUANTIDADE DE POSTOS</t>
  </si>
  <si>
    <t>VALOR UNITÁRIO DO POSTO</t>
  </si>
  <si>
    <t>VALOR TOTAL</t>
  </si>
  <si>
    <t>VALOR MEDIANA PAINEL DE PREÇOS</t>
  </si>
  <si>
    <t>TOTAL GLOBAL ANUAL</t>
  </si>
  <si>
    <r>
      <t xml:space="preserve">A – </t>
    </r>
    <r>
      <rPr>
        <sz val="10"/>
        <color rgb="FF000000"/>
        <rFont val="Calibri"/>
        <family val="2"/>
        <scheme val="minor"/>
      </rPr>
      <t>Data de apresentação da proposta (dia/mês/ano)</t>
    </r>
  </si>
  <si>
    <r>
      <t xml:space="preserve">B – </t>
    </r>
    <r>
      <rPr>
        <sz val="10"/>
        <color rgb="FF000000"/>
        <rFont val="Calibri"/>
        <family val="2"/>
        <scheme val="minor"/>
      </rPr>
      <t>Município/UF</t>
    </r>
  </si>
  <si>
    <r>
      <t xml:space="preserve">C – </t>
    </r>
    <r>
      <rPr>
        <sz val="10"/>
        <color rgb="FF000000"/>
        <rFont val="Calibri"/>
        <family val="2"/>
        <scheme val="minor"/>
      </rPr>
      <t>Ano Acordo, Convenção ou Sentença Normativa em Dissídio Coletivo</t>
    </r>
  </si>
  <si>
    <r>
      <t xml:space="preserve">D – </t>
    </r>
    <r>
      <rPr>
        <sz val="10"/>
        <color rgb="FF000000"/>
        <rFont val="Calibri"/>
        <family val="2"/>
        <scheme val="minor"/>
      </rPr>
      <t>Nº de meses de execução contratual</t>
    </r>
  </si>
  <si>
    <r>
      <t xml:space="preserve">1 – </t>
    </r>
    <r>
      <rPr>
        <sz val="10"/>
        <color rgb="FF000000"/>
        <rFont val="Calibri"/>
        <family val="2"/>
        <scheme val="minor"/>
      </rPr>
      <t>Tipo de serviço (mesmo serviço com características distintas)</t>
    </r>
  </si>
  <si>
    <r>
      <t xml:space="preserve">2 – </t>
    </r>
    <r>
      <rPr>
        <sz val="10"/>
        <color rgb="FF000000"/>
        <rFont val="Calibri"/>
        <family val="2"/>
        <scheme val="minor"/>
      </rPr>
      <t>Classificação Brasileira de Ocupações (CBO)</t>
    </r>
  </si>
  <si>
    <r>
      <t xml:space="preserve">3 – </t>
    </r>
    <r>
      <rPr>
        <sz val="10"/>
        <color rgb="FF000000"/>
        <rFont val="Calibri"/>
        <family val="2"/>
        <scheme val="minor"/>
      </rPr>
      <t xml:space="preserve">Salário Normativo da Categoria Profissional </t>
    </r>
  </si>
  <si>
    <r>
      <t xml:space="preserve">4 – </t>
    </r>
    <r>
      <rPr>
        <sz val="10"/>
        <color rgb="FF000000"/>
        <rFont val="Calibri"/>
        <family val="2"/>
        <scheme val="minor"/>
      </rPr>
      <t>Categoria profissional (vinculada à execução contratual)</t>
    </r>
  </si>
  <si>
    <r>
      <t xml:space="preserve">5 – </t>
    </r>
    <r>
      <rPr>
        <sz val="10"/>
        <color rgb="FF000000"/>
        <rFont val="Calibri"/>
        <family val="2"/>
        <scheme val="minor"/>
      </rPr>
      <t>Data base da categoria (dia/mês/ano)</t>
    </r>
  </si>
  <si>
    <r>
      <t xml:space="preserve">6 – </t>
    </r>
    <r>
      <rPr>
        <sz val="10"/>
        <color rgb="FF000000"/>
        <rFont val="Calibri"/>
        <family val="2"/>
        <scheme val="minor"/>
      </rPr>
      <t>Numero de registro da convenção coletiva no MTE:</t>
    </r>
  </si>
  <si>
    <r>
      <t xml:space="preserve">    B - Férias e Adicional de Férias </t>
    </r>
    <r>
      <rPr>
        <sz val="10"/>
        <color rgb="FF000000"/>
        <rFont val="Calibri"/>
        <family val="2"/>
        <scheme val="minor"/>
      </rPr>
      <t>(O custo com o valor pago ao substituto durante as férias do empregado consta na letra "A" do submódulo 4.1).</t>
    </r>
  </si>
  <si>
    <r>
      <t xml:space="preserve">2.2 - GPS, FGTS e outras contribuições </t>
    </r>
    <r>
      <rPr>
        <sz val="10"/>
        <color rgb="FF000000"/>
        <rFont val="Calibri"/>
        <family val="2"/>
        <scheme val="minor"/>
      </rPr>
      <t>(Incide sobre os Módulos 1 e 2.1)</t>
    </r>
  </si>
  <si>
    <r>
      <t xml:space="preserve">    C - SAT </t>
    </r>
    <r>
      <rPr>
        <sz val="10"/>
        <color rgb="FF000000"/>
        <rFont val="Calibri"/>
        <family val="2"/>
        <scheme val="minor"/>
      </rPr>
      <t>(Utilizar o RAT Ajustado conforme GFIP: RAT x FAP)</t>
    </r>
  </si>
  <si>
    <t>1. OBJETO:</t>
  </si>
  <si>
    <t>2 - CONDIÇÕES GERAIS:</t>
  </si>
  <si>
    <t>5173-30</t>
  </si>
  <si>
    <r>
      <t xml:space="preserve">    A - Aviso Prévio Indenizado</t>
    </r>
    <r>
      <rPr>
        <sz val="11"/>
        <color rgb="FFFF0000"/>
        <rFont val="Calibri"/>
        <family val="2"/>
        <scheme val="minor"/>
      </rPr>
      <t xml:space="preserve"> </t>
    </r>
  </si>
  <si>
    <t xml:space="preserve">            VIPPIM Segurança e Vigilância LTDA</t>
  </si>
  <si>
    <t>Brasília - DF</t>
  </si>
  <si>
    <t>Ref. PROPOSTA DE PREÇOS</t>
  </si>
  <si>
    <t>DADOS DA EMPRESA:</t>
  </si>
  <si>
    <r>
      <t xml:space="preserve">RAZÃO SOCIAL: </t>
    </r>
    <r>
      <rPr>
        <sz val="12"/>
        <color rgb="FF000000"/>
        <rFont val="Arial Narrow"/>
        <family val="2"/>
      </rPr>
      <t>VIPPIM VIGILÂNCIA E SEGURANÇA LTDA</t>
    </r>
  </si>
  <si>
    <r>
      <t xml:space="preserve">CNPJ: </t>
    </r>
    <r>
      <rPr>
        <sz val="12"/>
        <color rgb="FF000000"/>
        <rFont val="Arial Narrow"/>
        <family val="2"/>
      </rPr>
      <t>11.349.160/0001-67</t>
    </r>
  </si>
  <si>
    <r>
      <t xml:space="preserve">ENDEREÇO: </t>
    </r>
    <r>
      <rPr>
        <sz val="12"/>
        <color rgb="FF000000"/>
        <rFont val="Arial Narrow"/>
        <family val="2"/>
      </rPr>
      <t>RUA 05 LOTE 23 - LOJA 02 - PÓLO DE MODAS - GUARÁ - DF - CEP: 71.070-505</t>
    </r>
  </si>
  <si>
    <r>
      <rPr>
        <b/>
        <sz val="12"/>
        <color rgb="FF000000"/>
        <rFont val="Arial Narrow"/>
        <family val="2"/>
      </rPr>
      <t>Email:</t>
    </r>
    <r>
      <rPr>
        <sz val="12"/>
        <color rgb="FF000000"/>
        <rFont val="Arial Narrow"/>
        <family val="2"/>
      </rPr>
      <t xml:space="preserve"> vippimezpcomercial@gmail.com</t>
    </r>
  </si>
  <si>
    <t>Prezados Senhores,</t>
  </si>
  <si>
    <t>Valor mensal do serviço</t>
  </si>
  <si>
    <t>Valor Anual do Serviço (12 meses)</t>
  </si>
  <si>
    <t xml:space="preserve">DADOS BANCÁRIOS: </t>
  </si>
  <si>
    <r>
      <t xml:space="preserve">BANCO DO BRASIL S/A             AGÊNCIA: </t>
    </r>
    <r>
      <rPr>
        <sz val="12"/>
        <color rgb="FF000000"/>
        <rFont val="Arial Narrow"/>
        <family val="2"/>
      </rPr>
      <t xml:space="preserve">3599-8 </t>
    </r>
    <r>
      <rPr>
        <b/>
        <sz val="12"/>
        <color rgb="FF000000"/>
        <rFont val="Arial Narrow"/>
        <family val="2"/>
      </rPr>
      <t xml:space="preserve">            CONTA-CORRENTE: </t>
    </r>
    <r>
      <rPr>
        <sz val="12"/>
        <color rgb="FF000000"/>
        <rFont val="Arial Narrow"/>
        <family val="2"/>
      </rPr>
      <t>222.658-8</t>
    </r>
  </si>
  <si>
    <t>DADOS DO REPRESENTANTE LEGAL PARA ASSINATURA DO CONTRATO:</t>
  </si>
  <si>
    <r>
      <t xml:space="preserve">NOME: </t>
    </r>
    <r>
      <rPr>
        <sz val="12"/>
        <color rgb="FF000000"/>
        <rFont val="Arial Narrow"/>
        <family val="2"/>
      </rPr>
      <t>Eurípedes Gonçalves</t>
    </r>
  </si>
  <si>
    <r>
      <t xml:space="preserve">ENDEREÇO: </t>
    </r>
    <r>
      <rPr>
        <sz val="12"/>
        <color rgb="FF000000"/>
        <rFont val="Arial Narrow"/>
        <family val="2"/>
      </rPr>
      <t>CH 53 LOTE 06 - TAGUATINGA</t>
    </r>
  </si>
  <si>
    <r>
      <t xml:space="preserve">CEP: </t>
    </r>
    <r>
      <rPr>
        <sz val="12"/>
        <color rgb="FF000000"/>
        <rFont val="Arial Narrow"/>
        <family val="2"/>
      </rPr>
      <t>72.001-500</t>
    </r>
  </si>
  <si>
    <r>
      <rPr>
        <b/>
        <sz val="12"/>
        <color rgb="FF000000"/>
        <rFont val="Arial Narrow"/>
        <family val="2"/>
      </rPr>
      <t xml:space="preserve">CIDADE/UF: </t>
    </r>
    <r>
      <rPr>
        <sz val="12"/>
        <color rgb="FF000000"/>
        <rFont val="Arial Narrow"/>
        <family val="2"/>
      </rPr>
      <t>TAGUATINGA - BRASÍLIA - DF</t>
    </r>
  </si>
  <si>
    <r>
      <t xml:space="preserve">ESTADO CIVIL: </t>
    </r>
    <r>
      <rPr>
        <sz val="12"/>
        <color rgb="FF000000"/>
        <rFont val="Arial Narrow"/>
        <family val="2"/>
      </rPr>
      <t>CASADO</t>
    </r>
  </si>
  <si>
    <r>
      <rPr>
        <b/>
        <sz val="12"/>
        <color rgb="FF000000"/>
        <rFont val="Arial Narrow"/>
        <family val="2"/>
      </rPr>
      <t>CARGO/FUNÇÃO</t>
    </r>
    <r>
      <rPr>
        <sz val="12"/>
        <color rgb="FF000000"/>
        <rFont val="Arial Narrow"/>
        <family val="2"/>
      </rPr>
      <t>: SÓCIO</t>
    </r>
  </si>
  <si>
    <r>
      <t xml:space="preserve">CPF: </t>
    </r>
    <r>
      <rPr>
        <sz val="12"/>
        <color rgb="FF000000"/>
        <rFont val="Arial Narrow"/>
        <family val="2"/>
      </rPr>
      <t>256.203.981-53</t>
    </r>
  </si>
  <si>
    <r>
      <rPr>
        <b/>
        <sz val="12"/>
        <color rgb="FF000000"/>
        <rFont val="Arial Narrow"/>
        <family val="2"/>
      </rPr>
      <t>RG:</t>
    </r>
    <r>
      <rPr>
        <sz val="12"/>
        <color rgb="FF000000"/>
        <rFont val="Arial Narrow"/>
        <family val="2"/>
      </rPr>
      <t xml:space="preserve"> 623.703 - SSP-DF</t>
    </r>
  </si>
  <si>
    <r>
      <t xml:space="preserve">NATURALIDADE: </t>
    </r>
    <r>
      <rPr>
        <sz val="12"/>
        <color rgb="FF000000"/>
        <rFont val="Arial Narrow"/>
        <family val="2"/>
      </rPr>
      <t>BRASÍLIA</t>
    </r>
  </si>
  <si>
    <r>
      <rPr>
        <b/>
        <sz val="12"/>
        <color rgb="FF000000"/>
        <rFont val="Arial Narrow"/>
        <family val="2"/>
      </rPr>
      <t xml:space="preserve">NACIONALIDADE: </t>
    </r>
    <r>
      <rPr>
        <sz val="12"/>
        <color rgb="FF000000"/>
        <rFont val="Arial Narrow"/>
        <family val="2"/>
      </rPr>
      <t>BRASILEIRO</t>
    </r>
  </si>
  <si>
    <t>DECLARAÇÕES:</t>
  </si>
  <si>
    <t>Eurípedes Gonçalves</t>
  </si>
  <si>
    <t>Sócio</t>
  </si>
  <si>
    <t>Fator K</t>
  </si>
  <si>
    <t>INSS</t>
  </si>
  <si>
    <t xml:space="preserve">    A - (Intrajornada indenizada de 1 hora, conforme CCT)</t>
  </si>
  <si>
    <r>
      <t>2)</t>
    </r>
    <r>
      <rPr>
        <sz val="12"/>
        <color rgb="FF000000"/>
        <rFont val="Arial Narrow"/>
        <family val="2"/>
      </rPr>
      <t xml:space="preserve"> prazo de validade da proposta e de 60 (sessenta) dias a contar da data de sua apresentação;</t>
    </r>
  </si>
  <si>
    <r>
      <t>3)</t>
    </r>
    <r>
      <rPr>
        <sz val="12"/>
        <color rgb="FF000000"/>
        <rFont val="Arial Narrow"/>
        <family val="2"/>
      </rPr>
      <t xml:space="preserve"> A CCT utilizada para a cotação das Planilhas de Custos e Formação de Preços foi a do SINDESP-DF e SINDESV-DF, cuja data base é 01/01/2023.</t>
    </r>
  </si>
  <si>
    <t>DOS PREÇOS PROPOSTOS</t>
  </si>
  <si>
    <t>VALOR UNITÁRIO DO HOMEM</t>
  </si>
  <si>
    <t>SUPERVISOR DE VIGILÂNCIA</t>
  </si>
  <si>
    <t>TURNO</t>
  </si>
  <si>
    <t>Diurno 44hs</t>
  </si>
  <si>
    <t>VIGILANTE ARMADO</t>
  </si>
  <si>
    <t>Diurno 12x36hs</t>
  </si>
  <si>
    <t>Noturno 12x36hs</t>
  </si>
  <si>
    <t>VIGILANTE ARMADO MOTORIZADO</t>
  </si>
  <si>
    <t>VIGILANTE DESARMADO</t>
  </si>
  <si>
    <t>Supervisor de Vigilância 44 horas</t>
  </si>
  <si>
    <t>12X36 Armado Diurno</t>
  </si>
  <si>
    <t>12X36 Armado Noturno</t>
  </si>
  <si>
    <t>12X36 Noturno Motorizado</t>
  </si>
  <si>
    <t>12X36 Desarmado Diurno</t>
  </si>
  <si>
    <t>-</t>
  </si>
  <si>
    <t>Lanterna tática de alumínio, LED, no mínimo 190 (cento e noventa) Lumens e pilhas recarregáveis</t>
  </si>
  <si>
    <t>Pilhas recarregáveis para lanterna AAA.</t>
  </si>
  <si>
    <t>Carregador para pilhas recarregáveis.</t>
  </si>
  <si>
    <t>Cassetete tipo tonfa de polímero ou material similar (vedado o de madeira), em dimensões adequadas ao Posto).</t>
  </si>
  <si>
    <t>Porta cassetete</t>
  </si>
  <si>
    <t xml:space="preserve">Apito de metal, com cordão. </t>
  </si>
  <si>
    <t>Rádio/transceptor HT portátil com caneleta de comunicação comum e reservada, sintonizado em frequência da empresa, funcionado 24 (vinte e quatro) horas (o aparelho utilizado no Posto de Vigilância de 12 (doze) horas diurna será o mesmo utilizado no Posto de Vigilância de 12 (doze) horas noturna).</t>
  </si>
  <si>
    <t>Baterias reservas para Rádio HT com o carregador.</t>
  </si>
  <si>
    <t>Suspensório com suporte para Rádio HT.</t>
  </si>
  <si>
    <t>Crachá de Identificação em pvc.</t>
  </si>
  <si>
    <t>Livro de Ocorrências com emblema da CONTRATADA e caneta esferográfica. Observação: A CONTRATADA deverá fornecer aos profissionais dos Postos de Vigilância, sempre que necessário.</t>
  </si>
  <si>
    <t xml:space="preserve"> MATERIAIS</t>
  </si>
  <si>
    <t>EQUIPAMENTOS</t>
  </si>
  <si>
    <t>Revólver calibre 38 (ponto trinta e oito), oxidado, cabo de borracha, capacidade 6 (seis) munições.</t>
  </si>
  <si>
    <t>Munição calibre 38 (trinta e oito) de reserva para o pronto carregamento</t>
  </si>
  <si>
    <t>Cinto de guarnição tipo saque rápido com espaço para munição reserva</t>
  </si>
  <si>
    <t>Coldre de couro axilar.</t>
  </si>
  <si>
    <t>Colete balístico - modelo social, discreto, com proteção frontal, dorsal e lateral, nível II A, dentro das especificações NIJ 010104 ou superior, com fibras de aramida e polietileno, ou com material semelhante, com uma capa a mais cada.</t>
  </si>
  <si>
    <t>Placa balística.</t>
  </si>
  <si>
    <t xml:space="preserve">Capa de colete - feita em material resistente, na cor preta, com ajustes por velcro nos ombros e laterais e suporte para Placas Balísticas. A capa deve possuir porta celular elástico com fechamento em velcro, fiel com suporte em velcro, dois bolsos peitorais embutidos com zíper, dois porta canetas junto ao zíper frontal, velcro para tarjeta e distintivo na parte frontal, e para tarjeta na parte traseira, coldre frontal com fechamento em velcro, 3 (três) porta carregadores para pistola com fechamento em velcro, porta objetos com fechamento em velcro, porta algemas com fechamento em velcro, ajuste de tamanho com velcro e suporte com fechos tipo "Tic-Tac" na cintura, e com velcro nos ombros e fitas de acabamento em nylon. </t>
  </si>
  <si>
    <t>Baleiro.</t>
  </si>
  <si>
    <t>Cofre com segredo mecânico e chave para guarda de armamentos, medindo no mínimo A280mm x L395mm x P270mm.</t>
  </si>
  <si>
    <t>Veículo motorizado (motocicleta com no mínimo 125cc - Ano e Modelo 2023 0 (zero) km, equipada com giroflex, baú para equipamentos e holofote manual para melhor visão noturna, caracterizada com as cores e com o logotipo da CONTRATADA, com todos os EPI’s necessários (capacete, luvas, japona, coturno, colete, etc.) e demais insumos para execução dos serviços de ronda motorizada (combustível, óleo lubrificante, manutenção, seguros e impostos, etc). A quilometragem rodada mensalmente é estimada em 1.500(um mil e quinhentos) Km.</t>
  </si>
  <si>
    <t>TOTAL GLOBAL</t>
  </si>
  <si>
    <t>Cinto Social</t>
  </si>
  <si>
    <t>camisa de manga comprida</t>
  </si>
  <si>
    <t>camisa de manga curta</t>
  </si>
  <si>
    <t>sapato</t>
  </si>
  <si>
    <t>meia</t>
  </si>
  <si>
    <t>quepe ou boné</t>
  </si>
  <si>
    <t>jaqueta de frio ou japona</t>
  </si>
  <si>
    <t>capa de chuva</t>
  </si>
  <si>
    <t>ESTIMATIVA ANUAL DE UNIFORMES SUPERVISOR</t>
  </si>
  <si>
    <t>terno</t>
  </si>
  <si>
    <t>cinto social</t>
  </si>
  <si>
    <t xml:space="preserve">sapato </t>
  </si>
  <si>
    <t>MOTOCICLETA</t>
  </si>
  <si>
    <t>manutenção</t>
  </si>
  <si>
    <t>combustivel</t>
  </si>
  <si>
    <t>km</t>
  </si>
  <si>
    <t>VALOR DEPRECIADO</t>
  </si>
  <si>
    <t xml:space="preserve">CUSTO MENSAL </t>
  </si>
  <si>
    <t>VALOR POR EMPREGADO</t>
  </si>
  <si>
    <t>QUANTIDADE DE VIGILANTES</t>
  </si>
  <si>
    <t xml:space="preserve">    C - Equipamentos (Valor por vigilante)</t>
  </si>
  <si>
    <t>Posto de Supervisão  44 h semanais (Qtde)</t>
  </si>
  <si>
    <r>
      <t xml:space="preserve">    D - Aviso Prévio Trabalhado</t>
    </r>
    <r>
      <rPr>
        <sz val="11"/>
        <color rgb="FFFF0000"/>
        <rFont val="Calibri"/>
        <family val="2"/>
        <scheme val="minor"/>
      </rPr>
      <t xml:space="preserve"> </t>
    </r>
  </si>
  <si>
    <t>MEMÓRIA DE CÁLCULO  DA PLANILHA DE CUSTOS E FORMAÇÃO DE PREÇOS</t>
  </si>
  <si>
    <t>MÓDULO 1 - Composição da REMUNERAÇÃO</t>
  </si>
  <si>
    <r>
      <rPr>
        <b/>
        <sz val="9.5"/>
        <rFont val="Calibri"/>
        <family val="2"/>
        <scheme val="minor"/>
      </rPr>
      <t xml:space="preserve">
</t>
    </r>
    <r>
      <rPr>
        <sz val="9.5"/>
        <rFont val="Calibri"/>
        <family val="2"/>
        <scheme val="minor"/>
      </rPr>
      <t>A) Salário Base:</t>
    </r>
    <r>
      <rPr>
        <b/>
        <sz val="9.5"/>
        <rFont val="Calibri"/>
        <family val="2"/>
        <scheme val="minor"/>
      </rPr>
      <t xml:space="preserve"> R$ 2.593,73 (Dois mil, quinhentos e noventa e três reais e setenta  e três centavos).
</t>
    </r>
    <r>
      <rPr>
        <sz val="9.5"/>
        <rFont val="Calibri"/>
        <family val="2"/>
        <scheme val="minor"/>
      </rPr>
      <t xml:space="preserve">Os  valores  dos  salários  da  categoria  envolvida  na  prestação  dos  serviços  ora  licitados  estão  definidos  na CCT da Categoria, firmado entre o SEAC-DF e o SINDIBOMBEIROS-DF
</t>
    </r>
  </si>
  <si>
    <r>
      <t xml:space="preserve">B) Adicional de Periculosidade – 30% do salário base:  </t>
    </r>
    <r>
      <rPr>
        <b/>
        <sz val="10"/>
        <color rgb="FF000000"/>
        <rFont val="Calibri"/>
        <family val="2"/>
        <scheme val="minor"/>
      </rPr>
      <t>R$ 778,12</t>
    </r>
  </si>
  <si>
    <r>
      <rPr>
        <u/>
        <sz val="9.5"/>
        <rFont val="Calibri"/>
        <family val="2"/>
        <scheme val="minor"/>
      </rPr>
      <t>Metodolo</t>
    </r>
    <r>
      <rPr>
        <sz val="9.5"/>
        <rFont val="Calibri"/>
        <family val="2"/>
        <scheme val="minor"/>
      </rPr>
      <t>g</t>
    </r>
    <r>
      <rPr>
        <u/>
        <sz val="9.5"/>
        <rFont val="Calibri"/>
        <family val="2"/>
        <scheme val="minor"/>
      </rPr>
      <t>ia de Cálculo do Adicional de Periculosidade</t>
    </r>
    <r>
      <rPr>
        <sz val="9.5"/>
        <rFont val="Calibri"/>
        <family val="2"/>
        <scheme val="minor"/>
      </rPr>
      <t xml:space="preserve">:
</t>
    </r>
    <r>
      <rPr>
        <b/>
        <sz val="9.5"/>
        <rFont val="Calibri"/>
        <family val="2"/>
        <scheme val="minor"/>
      </rPr>
      <t>R$ 2.593,73 * 30%</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</si>
  <si>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193 e §§; </t>
    </r>
    <r>
      <rPr>
        <u/>
        <sz val="9.5"/>
        <color rgb="FF0000ED"/>
        <rFont val="Calibri"/>
        <family val="2"/>
        <scheme val="minor"/>
      </rPr>
      <t>CF/88</t>
    </r>
    <r>
      <rPr>
        <sz val="9.5"/>
        <rFont val="Calibri"/>
        <family val="2"/>
        <scheme val="minor"/>
      </rPr>
      <t>: art. 7º, XXIII</t>
    </r>
  </si>
  <si>
    <r>
      <t xml:space="preserve">C) Adicional de Insalubridade: </t>
    </r>
    <r>
      <rPr>
        <b/>
        <sz val="10"/>
        <color rgb="FF000000"/>
        <rFont val="Calibri"/>
        <family val="2"/>
        <scheme val="minor"/>
      </rPr>
      <t>Não contempla</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</si>
  <si>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Mínimo  ou  Salário  Normativo  *  Adicional  de  Insalubridade  (10%,  20%, 40%)</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</si>
  <si>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189 e §§; </t>
    </r>
    <r>
      <rPr>
        <u/>
        <sz val="9.5"/>
        <color rgb="FF0000ED"/>
        <rFont val="Calibri"/>
        <family val="2"/>
        <scheme val="minor"/>
      </rPr>
      <t>CF/88</t>
    </r>
    <r>
      <rPr>
        <sz val="9.5"/>
        <rFont val="Calibri"/>
        <family val="2"/>
        <scheme val="minor"/>
      </rPr>
      <t xml:space="preserve">: art. 7º, XXIII
</t>
    </r>
    <r>
      <rPr>
        <b/>
        <sz val="9.5"/>
        <rFont val="Calibri"/>
        <family val="2"/>
        <scheme val="minor"/>
      </rPr>
      <t>D) Adicional Noturno – 20% do salário base:</t>
    </r>
  </si>
  <si>
    <r>
      <t xml:space="preserve">D) Adicional Noturno: </t>
    </r>
    <r>
      <rPr>
        <b/>
        <sz val="10"/>
        <color rgb="FF000000"/>
        <rFont val="Calibri"/>
        <family val="2"/>
        <scheme val="minor"/>
      </rPr>
      <t>R$ 321,86</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</si>
  <si>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73 e §§; </t>
    </r>
    <r>
      <rPr>
        <u/>
        <sz val="9.5"/>
        <color rgb="FF0000ED"/>
        <rFont val="Calibri"/>
        <family val="2"/>
        <scheme val="minor"/>
      </rPr>
      <t>CF/88</t>
    </r>
    <r>
      <rPr>
        <sz val="9.5"/>
        <rFont val="Calibri"/>
        <family val="2"/>
        <scheme val="minor"/>
      </rPr>
      <t xml:space="preserve">: art. 7º, IX
</t>
    </r>
  </si>
  <si>
    <r>
      <t xml:space="preserve">E) Adicional de Hora Noturna Reduzida: </t>
    </r>
    <r>
      <rPr>
        <b/>
        <sz val="9.5"/>
        <color rgb="FF000000"/>
        <rFont val="Calibri"/>
        <family val="2"/>
        <scheme val="minor"/>
      </rPr>
      <t>R$ 45,98</t>
    </r>
  </si>
  <si>
    <r>
      <t xml:space="preserve">A cláudula 10ª. da CCT firmada entre SINDESP-DF x SINDESV-DF traz o seguinte comando para o cálculo referente ao Adicional Noturno, vejamos: 
</t>
    </r>
    <r>
      <rPr>
        <b/>
        <sz val="9.5"/>
        <rFont val="Calibri"/>
        <family val="2"/>
        <scheme val="minor"/>
      </rPr>
      <t>CLÁUSULA DÉCIMA - ADICIONAL NOTURNO NA ESCALA 12X36</t>
    </r>
    <r>
      <rPr>
        <sz val="9.5"/>
        <rFont val="Calibri"/>
        <family val="2"/>
        <scheme val="minor"/>
      </rPr>
      <t xml:space="preserve"> - O adicional noturno obedecerá a legislação vigente, sendo que o seu cálculo será efetuado dividindo-se o salário por 220 (duzentas e vinte) horas, não havendo prorrogação da jornada noturna (compreendida entre 22h e 5h), independente da continuidade dos serviços, que será pago com o adicional de 20% sobre a hora normal, não sendo devido o adicional noturno sobre as horas laboradas após as 05 horas da manhã (artigo 59- A da CLT).
</t>
    </r>
    <r>
      <rPr>
        <b/>
        <sz val="9.5"/>
        <rFont val="Calibri"/>
        <family val="2"/>
        <scheme val="minor"/>
      </rPr>
      <t>Parágrafo Primeiro</t>
    </r>
    <r>
      <rPr>
        <sz val="9.5"/>
        <rFont val="Calibri"/>
        <family val="2"/>
        <scheme val="minor"/>
      </rPr>
      <t xml:space="preserve"> – Considere-se noturno o trabalho executado entre as 22 (vinte e duas) horas de um dia e as 5 (cinco) horas do dia seguinte, sendo a hora noturno computada como de 52m30s (cinquenta e dois minutos e trinta e segundos).
A Consolidação das Leis do Trabalho estabelece em seu artigo 73 que o trabalho noturno deverá ser remunerado em 20% a mais que o diurno e que considera-se noturno o trabalho compreendido entre 22 e 05 horas:
Art. 73. Salvo nos casos de revezamento semanal ou quinzenal, o trabalho noturno terá remuneração superior à do diurno e, para esse efeito, sua remuneração terá um acréscimo de 20 % (vinte por cento), pelo menos, sobre a hora diurna.
§ 1º A hora do trabalho noturno será computada como de 52 minutos e 30 segundos.
§ 2º Considera-se noturno, para os efeitos deste artigo, o trabalho executado entre as 22 horas de um dia e as 5 horas do dia seguinte.
Faz-se  necessário frisar que o vigilante cumpre uma jornada de trabalho de 12 horas consecutivas de trabalho e 36 horas de descanso remunerado.
Esta jornada primeiramente foi criada no âmbito das convenções coletivas de trabalho e posteriormente foi regulamentado no artigo 59‐A da CLT.
O profissional que trabalha em jornada de 12x36 horas possui uma escala mais benéfica que aquele que labora 44 horas semanais, visto que ao final do mês terá trabalhado aproximadamente 180 horas enquanto que o segundo terá trabalhado aproximadamente 220 horas.
O labor realizado entre as 22 e as 05 horas não implica em nenhuma hipótese no pagamento de mais uma hora de trabalho com o acréscimo dos 20% do adicional noturno. Neste caso é devido apenas o adicional de 20% para o trabalho realizado neste horário, visto que o trabalhador já está sendo remunerado em seu salário pelas 12 horas de trabalho do plantão. Portanto, o trabalho realizado pelo vigilante noturno 12x36 entre as 22 e as 05 horas não compreende a realização de horas extras, sendo aplicável apenas os 20% do adicional noturno.
Além disso, recentemente tivemos essa interpretação defendida pelo </t>
    </r>
    <r>
      <rPr>
        <b/>
        <sz val="9.5"/>
        <rFont val="Calibri"/>
        <family val="2"/>
        <scheme val="minor"/>
      </rPr>
      <t>Acórdão 2243/2019 – TCU – Plenário</t>
    </r>
    <r>
      <rPr>
        <sz val="9.5"/>
        <rFont val="Calibri"/>
        <family val="2"/>
        <scheme val="minor"/>
      </rPr>
      <t xml:space="preserve">, que decidiu “....a hora noturna correspondente a 52 minutos e 30 segundos, no período compreendido entre 22h de um dia e 5h do dia seguinte, deve ser considerada tão somente para fins de cálculo do adicional noturno, não repercutindo na jornada de trabalho...” 
</t>
    </r>
  </si>
  <si>
    <r>
      <rPr>
        <u/>
        <sz val="9.5"/>
        <rFont val="Calibri"/>
        <family val="2"/>
        <scheme val="minor"/>
      </rPr>
      <t>Metodolo</t>
    </r>
    <r>
      <rPr>
        <sz val="9.5"/>
        <rFont val="Calibri"/>
        <family val="2"/>
        <scheme val="minor"/>
      </rPr>
      <t>g</t>
    </r>
    <r>
      <rPr>
        <u/>
        <sz val="9.5"/>
        <rFont val="Calibri"/>
        <family val="2"/>
        <scheme val="minor"/>
      </rPr>
      <t>ia de Cálculo do Adicional Noturno</t>
    </r>
    <r>
      <rPr>
        <sz val="9.5"/>
        <rFont val="Calibri"/>
        <family val="2"/>
        <scheme val="minor"/>
      </rPr>
      <t xml:space="preserve">:
</t>
    </r>
    <r>
      <rPr>
        <b/>
        <sz val="9.5"/>
        <rFont val="Calibri"/>
        <family val="2"/>
        <scheme val="minor"/>
      </rPr>
      <t>((R$ 2.192,65 + R$ 657,80) / (220hs) * (20%) * (1h) * (15d)</t>
    </r>
  </si>
  <si>
    <r>
      <rPr>
        <u/>
        <sz val="9.5"/>
        <rFont val="Calibri"/>
        <family val="2"/>
        <scheme val="minor"/>
      </rPr>
      <t>Fundamenta</t>
    </r>
    <r>
      <rPr>
        <sz val="9.5"/>
        <rFont val="Calibri"/>
        <family val="2"/>
        <scheme val="minor"/>
      </rPr>
      <t>ç</t>
    </r>
    <r>
      <rPr>
        <u/>
        <sz val="9.5"/>
        <rFont val="Calibri"/>
        <family val="2"/>
        <scheme val="minor"/>
      </rPr>
      <t>ão Jurídica:</t>
    </r>
  </si>
  <si>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73 e §§; </t>
    </r>
    <r>
      <rPr>
        <u/>
        <sz val="9.5"/>
        <color rgb="FF0000ED"/>
        <rFont val="Calibri"/>
        <family val="2"/>
        <scheme val="minor"/>
      </rPr>
      <t>CF/88</t>
    </r>
    <r>
      <rPr>
        <sz val="9.5"/>
        <rFont val="Calibri"/>
        <family val="2"/>
        <scheme val="minor"/>
      </rPr>
      <t>: art. 7º, IX</t>
    </r>
  </si>
  <si>
    <t>F) Adicional de hora Extra no Feriado Trabalhado:</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</si>
  <si>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Adicional de Hora Noturna Reduzida) / Jornada Mensal) * (1 + Porcentagem da Hora Extra) * (Nº de Horas Extras) * (Dias trabalhados)</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</si>
  <si>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59, §1º; </t>
    </r>
    <r>
      <rPr>
        <u/>
        <sz val="9.5"/>
        <color rgb="FF0000ED"/>
        <rFont val="Calibri"/>
        <family val="2"/>
        <scheme val="minor"/>
      </rPr>
      <t>CF/88</t>
    </r>
    <r>
      <rPr>
        <sz val="9.5"/>
        <rFont val="Calibri"/>
        <family val="2"/>
        <scheme val="minor"/>
      </rPr>
      <t xml:space="preserve">: art. 7º, XVI
OBS: Somente deverá ser preenchido se houver expressa previsão no edital de licitação para jornada extraordinária. Por se tratar de custo variável somente integrará o valor mensal quando de sua ocorrência.
</t>
    </r>
    <r>
      <rPr>
        <b/>
        <sz val="9.5"/>
        <rFont val="Calibri"/>
        <family val="2"/>
        <scheme val="minor"/>
      </rPr>
      <t>G) Trabalho Feriado (Súmula 444 do TST):</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</si>
  <si>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Adicional de Hora Noturna Reduzida) / Jornada Mensal) * (Nº de Horas Trabalhadas no Feriado) * ((Número de feriados no Ano)/12/(Número de Trabalhadores no Posto)).</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</si>
  <si>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color rgb="FF0000ED"/>
        <rFont val="Calibri"/>
        <family val="2"/>
        <scheme val="minor"/>
      </rPr>
      <t xml:space="preserve"> </t>
    </r>
    <r>
      <rPr>
        <sz val="9.5"/>
        <rFont val="Calibri"/>
        <family val="2"/>
        <scheme val="minor"/>
      </rPr>
      <t xml:space="preserve">(Decreto-Lei 5.452/43): Art. 71, § 4º; Súmula nº </t>
    </r>
    <r>
      <rPr>
        <u/>
        <sz val="9.5"/>
        <color rgb="FF0000ED"/>
        <rFont val="Calibri"/>
        <family val="2"/>
        <scheme val="minor"/>
      </rPr>
      <t>444</t>
    </r>
    <r>
      <rPr>
        <sz val="9.5"/>
        <rFont val="Calibri"/>
        <family val="2"/>
        <scheme val="minor"/>
      </rPr>
      <t xml:space="preserve">, TST
</t>
    </r>
    <r>
      <rPr>
        <b/>
        <sz val="9.5"/>
        <rFont val="Calibri"/>
        <family val="2"/>
        <scheme val="minor"/>
      </rPr>
      <t>H) Repouso Semanal Remunerado</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</si>
  <si>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((Adicional Noturno + Adicional de Hora Noturna Reduzida + Trabalho Feriado) * (Número de Dias Não Úteis no Mês /Número de Dias Úteis no Mês)).</t>
    </r>
  </si>
  <si>
    <r>
      <rPr>
        <u/>
        <sz val="9.5"/>
        <rFont val="Calibri"/>
        <family val="2"/>
        <scheme val="minor"/>
      </rPr>
      <t>Fundamenta</t>
    </r>
    <r>
      <rPr>
        <sz val="9.5"/>
        <rFont val="Calibri"/>
        <family val="2"/>
        <scheme val="minor"/>
      </rPr>
      <t>ç</t>
    </r>
    <r>
      <rPr>
        <u/>
        <sz val="9.5"/>
        <rFont val="Calibri"/>
        <family val="2"/>
        <scheme val="minor"/>
      </rPr>
      <t xml:space="preserve">ão Jurídica:
</t>
    </r>
    <r>
      <rPr>
        <sz val="9.5"/>
        <rFont val="Calibri"/>
        <family val="2"/>
        <scheme val="minor"/>
      </rPr>
      <t xml:space="preserve">Orientação Jurisprudencial </t>
    </r>
    <r>
      <rPr>
        <u/>
        <sz val="9.5"/>
        <color rgb="FF0000ED"/>
        <rFont val="Calibri"/>
        <family val="2"/>
        <scheme val="minor"/>
      </rPr>
      <t>SDI 1/TST nº 394</t>
    </r>
  </si>
  <si>
    <t>MÓDULO 2
Encargos e Benefícios Anuais, Mensais e Diários.Submódulo 2.1 - 13º (décimo terceiro) Salário, Férias e Adicional de Férias</t>
  </si>
  <si>
    <t>Submódulo 2.1 – 13º Salário e Adicional de Férias.</t>
  </si>
  <si>
    <t>A</t>
  </si>
  <si>
    <t>13º SALÁRIO</t>
  </si>
  <si>
    <r>
      <t xml:space="preserve">Remuneração/12.     Em     percentual     da     Remuneração     = (1/12)*100=8,33%                                                                
Fonte: Acórdão TCU n. 1.904/2007 e Acórdão TCU-Plenario Nº 1513/2013. Gratificação de Natal, instituída pela Lei nº 4.090, de 13 de julho de 1962. A provisão mensal representa 1/12 da folha para que ao final do período complete um salário. </t>
    </r>
    <r>
      <rPr>
        <b/>
        <i/>
        <sz val="9.5"/>
        <color rgb="FFFF0000"/>
        <rFont val="Calibri"/>
        <family val="2"/>
        <scheme val="minor"/>
      </rPr>
      <t>Memória de Cálculo: (1/12) x 100 = 8,33%.</t>
    </r>
  </si>
  <si>
    <t>B</t>
  </si>
  <si>
    <t>ADICIONAL DE FÉRIAS</t>
  </si>
  <si>
    <t>C</t>
  </si>
  <si>
    <t>INCIDÊNCIA DO SUBMÓDULO 2.2.</t>
  </si>
  <si>
    <t>De  acordo  com  a  Nota  3  do  Submódulo  2.2  da  IN  05/2017, os    percentuais    do    referido    submódulo    incidem    sobre o Submódulo 2.1. (Redação dada pela Instrução Normativa nº 7, de 2018)</t>
  </si>
  <si>
    <t>TOTAL</t>
  </si>
  <si>
    <t>Percentual exemplificativo, observar RAT ajustado do submódulo 2.2.</t>
  </si>
  <si>
    <t>Submódulo 2.2 - Encargos Previdenciários (GPS), Fundo de Garantia por Tempo de Serviço (FGTS) e outras contribuições</t>
  </si>
  <si>
    <t>Submódulo 2.2. Encargos Previdenciários e FGTS e outras</t>
  </si>
  <si>
    <t>Conforme  o  artigo  22,  inciso  I,  da  Lei  8.212/91,  a  empresa custeia 20%</t>
  </si>
  <si>
    <t>SALÁRIO EDUCAÇÃO</t>
  </si>
  <si>
    <t>A prestadora de serviços contribui com 2,5%, por determinação do art. 15, da Lei nº 9.424/96; do art. 2º do Decreto nº 3.142/99; e art. 212, § 5º da CF.</t>
  </si>
  <si>
    <t>SEGURO ACIDENTE DE TRABALHO + FAP</t>
  </si>
  <si>
    <t>Segundo  a  classificação  do  nível  de  risco  dos  serviços,  o prêmio pode ser de 1%, 2% ou 3%, é o que preceitua o artigo 22,   inciso   II,   da   Lei   nº   8.212/91.   (RAT   *   FAP)   =   RAT Ajustado* FAP (0,50) * RAT (3,00) = 1,5%</t>
  </si>
  <si>
    <t>D</t>
  </si>
  <si>
    <t>SESI/SESC</t>
  </si>
  <si>
    <t xml:space="preserve">Por  força  do  artigo  30  da  Lei  nº  8.036/90,  a  contratada  fica obrigada a contribuir com esses sistemas. </t>
  </si>
  <si>
    <t>E</t>
  </si>
  <si>
    <t>SENAI/SENAC</t>
  </si>
  <si>
    <t xml:space="preserve">Em obediência ao Decreto-Lei nº 2.318/86. </t>
  </si>
  <si>
    <t>F</t>
  </si>
  <si>
    <t>SEBRAE</t>
  </si>
  <si>
    <t>O  empregador,  para  atender  à  Lei  nº  8.029/90,  contribui  com 0,6% sobre a folha de pagamento.</t>
  </si>
  <si>
    <t>G</t>
  </si>
  <si>
    <t>INCRA</t>
  </si>
  <si>
    <t>A empresa participa com 0,2%, para atendimento dos artigos 1º e 2º do Decreto-Lei nº 1.146/70.</t>
  </si>
  <si>
    <t>H</t>
  </si>
  <si>
    <t>FGTS</t>
  </si>
  <si>
    <t>O   depósito   voltou   a   ser   de   8%,   como   preconiza   a   Lei Complementar  110/2001.  O  tributo  está  previsto  no  art.  7º, Inciso  III,  da  Constituição  Federal,  tendo  sido  regulamentado pela Lei nº 8.030/90, artigo 15.</t>
  </si>
  <si>
    <t>------</t>
  </si>
  <si>
    <t>Submódulo 2.3 – Benefícios Mensais e Diários</t>
  </si>
  <si>
    <t>A) Transporte:</t>
  </si>
  <si>
    <t>TRANSPORTE</t>
  </si>
  <si>
    <t>Qtde</t>
  </si>
  <si>
    <t>44hs semanais</t>
  </si>
  <si>
    <t>Casa/Trabalho (1 vale de R$ 5,50)</t>
  </si>
  <si>
    <t>Trabalho/Casa (1 vale de R$ 5,50)</t>
  </si>
  <si>
    <t>TOTAL BRUTO</t>
  </si>
  <si>
    <t>DESCONTO 6% SALÁRIO</t>
  </si>
  <si>
    <t>TOTAL LÍQUIDO DO VALE TRANSPORTE</t>
  </si>
  <si>
    <r>
      <rPr>
        <u/>
        <sz val="9.5"/>
        <rFont val="Calibri"/>
        <family val="2"/>
        <scheme val="minor"/>
      </rPr>
      <t>Metodolo</t>
    </r>
    <r>
      <rPr>
        <sz val="9.5"/>
        <rFont val="Calibri"/>
        <family val="2"/>
        <scheme val="minor"/>
      </rPr>
      <t>g</t>
    </r>
    <r>
      <rPr>
        <u/>
        <sz val="9.5"/>
        <rFont val="Calibri"/>
        <family val="2"/>
        <scheme val="minor"/>
      </rPr>
      <t>ia de Cálculo do Vale-Transporte para postos 44hs semanais</t>
    </r>
    <r>
      <rPr>
        <sz val="9.5"/>
        <rFont val="Calibri"/>
        <family val="2"/>
        <scheme val="minor"/>
      </rPr>
      <t>:</t>
    </r>
  </si>
  <si>
    <t>12X36</t>
  </si>
  <si>
    <r>
      <rPr>
        <u/>
        <sz val="9.5"/>
        <rFont val="Calibri"/>
        <family val="2"/>
        <scheme val="minor"/>
      </rPr>
      <t>Metodolo</t>
    </r>
    <r>
      <rPr>
        <sz val="9.5"/>
        <rFont val="Calibri"/>
        <family val="2"/>
        <scheme val="minor"/>
      </rPr>
      <t>g</t>
    </r>
    <r>
      <rPr>
        <u/>
        <sz val="9.5"/>
        <rFont val="Calibri"/>
        <family val="2"/>
        <scheme val="minor"/>
      </rPr>
      <t>ia de Cálculo do Vale-Transporte para postos 12x36hs</t>
    </r>
    <r>
      <rPr>
        <sz val="9.5"/>
        <rFont val="Calibri"/>
        <family val="2"/>
        <scheme val="minor"/>
      </rPr>
      <t>:</t>
    </r>
  </si>
  <si>
    <t>(R$ 5,50) * (2 vales) * (15 dias) – (6% * R$ 2.593,73)</t>
  </si>
  <si>
    <t>B) Auxílio Alimentação:</t>
  </si>
  <si>
    <t>ALIMENTAÇÃO</t>
  </si>
  <si>
    <t>QTD</t>
  </si>
  <si>
    <r>
      <rPr>
        <b/>
        <sz val="8.5"/>
        <rFont val="Calibri"/>
        <family val="2"/>
        <scheme val="minor"/>
      </rPr>
      <t>DESCONTO 2%
Previsão CCT</t>
    </r>
  </si>
  <si>
    <t>VALOR FINAL</t>
  </si>
  <si>
    <r>
      <rPr>
        <sz val="9.5"/>
        <rFont val="Calibri"/>
        <family val="2"/>
        <scheme val="minor"/>
      </rPr>
      <t xml:space="preserve">Vale Alimentação
</t>
    </r>
    <r>
      <rPr>
        <b/>
        <sz val="9.5"/>
        <rFont val="Calibri"/>
        <family val="2"/>
        <scheme val="minor"/>
      </rPr>
      <t>12X36</t>
    </r>
  </si>
  <si>
    <r>
      <rPr>
        <sz val="9.5"/>
        <rFont val="Calibri"/>
        <family val="2"/>
        <scheme val="minor"/>
      </rPr>
      <t xml:space="preserve">Vale Alimentação
</t>
    </r>
    <r>
      <rPr>
        <b/>
        <sz val="9.5"/>
        <rFont val="Calibri"/>
        <family val="2"/>
        <scheme val="minor"/>
      </rPr>
      <t>44hs semanais</t>
    </r>
  </si>
  <si>
    <t>C) Assistência Médica e Familiar</t>
  </si>
  <si>
    <t>Assistência Médica:</t>
  </si>
  <si>
    <r>
      <rPr>
        <b/>
        <sz val="10"/>
        <color rgb="FF000000"/>
        <rFont val="Calibri"/>
        <family val="2"/>
        <scheme val="minor"/>
      </rPr>
      <t xml:space="preserve">R$ 151,90 (cento e cinquenta e um reais e noventa centavos) </t>
    </r>
    <r>
      <rPr>
        <sz val="10"/>
        <color rgb="FF000000"/>
        <rFont val="Calibri"/>
        <family val="2"/>
        <scheme val="minor"/>
      </rPr>
      <t>mensais sobre cada profissional, conforme Cláusula Décima Quarta da CCT 2020/2020 do SINDESV-DF (Doc. SEI nº 1856257 ).</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</si>
  <si>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da Assistência Médica) – (Desconto da parte do empregado)                                                                                                                                                                                                            (R$ 151,90) – (R$ 0,00) = R$ 151,90</t>
    </r>
  </si>
  <si>
    <t>D) Assistência Odontológica</t>
  </si>
  <si>
    <t>Assistência Odontológica:</t>
  </si>
  <si>
    <t>R$ 10,33 (dez reais e trinta e três centavos) mensais por profissional, conforme Cláusula Décima Quinta da CCT 2020/2020 do SINDESV-DF (Doc. SEI nº 1856257 ).</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</si>
  <si>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da Assistência Odontológica) – (Desconto da parte do empregado)                                                                                                                                                                                                            (R 10,33) – (R$ 0,00) = R$ 10,33</t>
    </r>
  </si>
  <si>
    <t>E) Auxílio Doença /  Invalidez:</t>
  </si>
  <si>
    <t>Auxílio Doença/Invalidez:</t>
  </si>
  <si>
    <t>R$ 14,00 (quatorze reais) mensais por profissional, conforme Cláusula Décima Sétima da CCT 2020/2020 do SINDESV-DF (Doc. SEI nº 1856257 ).</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</si>
  <si>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do Auxílio Doença) – (Desconto da parte do empregado)                                                                                                                                                                                                            (R$ 14,00) – (R$ 0,00) = R$ 14,00</t>
    </r>
  </si>
  <si>
    <t>F) Seguro de Vida:</t>
  </si>
  <si>
    <t>Seguro de vida:</t>
  </si>
  <si>
    <t>R$ 18,16 (dezoito reais e dezesseis centavos) mensais por profissional, conforme Cláusula Décima Sexta da CCT 2020/2020 do SINDESV-DF (Doc. SEI nº 1856257 ).</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</si>
  <si>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(Valor do Seguro de Vida) – (Desconto da parte do empregado)                                                                                                                                                                                                            (R$ 18,16) – (R$ 0,00) = R$ 18,16</t>
    </r>
  </si>
  <si>
    <t>MÓDULO 3: Provisão para Rescisão:</t>
  </si>
  <si>
    <t>AVISO PRÉVIO INDENIZADO</t>
  </si>
  <si>
    <t xml:space="preserve"> (CF, art. 7º, inciso XXI e CLT, arts. 477 e 487 a 491 - Trata de valor devido ao empregado no caso de o empregador rescindir o contrato sem justo motivo e sem lhe conceder aviso prévio. De acordo com as estatísticas desta empresa, menos de 1% do seu pessoal é demitido pelo empregador, antes do término do contrato de trabalho logo a provisão representa: Memória de Cálculo:  ((1/12)x 0,01) x 100 =0,08 %.</t>
  </si>
  <si>
    <t>INCIDÊNCIA DO FGTS SOBRE O AVISO PRÉVIO INDENIZADO</t>
  </si>
  <si>
    <t>FGTS 8% x o item A do módulo 3.</t>
  </si>
  <si>
    <t>MULTA DO FGTS DO AVISO PRÉVIO INDENIZADO</t>
  </si>
  <si>
    <t>Estima-se  que  5%  do  pessoal  é  demitido  antes  do  término  do contrato.  Assim,  o  cálculo  é:  (0,05x0,4)*0,08  =  0,16%,  onde: 5%  corresponde  à  estatística  de  demissões  antes  do  término; 40%  é  a  multa  do  FGTS;  8%  é  a  alíquota  do  FGTS.  Fonte: NOTA TÉCNICA 001/2013 do CJF e Acórdão TCU - Plenário nº 1513/2013.
A  partir  de  1º/1/2020,  foi  extinta  a  contribuição  social  devida pelos  empregadores  em  caso  de  despedida  de  empregado  sem justa causa, que corresponde à alíquota de 10% (dez por cento) sobre  o  montante  de  todos  os  depósitos  devidos,  referente  ao Fundo  de  Garantia  do  Tempo  de  Serviço  (FGTS).  A  Lei  n.º 13.932/2019, em seu parágrafo 12, extinguiu essa contribuição, conforme transcrição a seguir:
[...] Art. 12. A partir de 1º de janeiro de 2020, fica extinta a contribuição social instituída por meio do art. 1º da Lei Complementar nº 110, de 29 de junho de 2001.</t>
  </si>
  <si>
    <t>AVISO PRÉVIO TRABALHADO</t>
  </si>
  <si>
    <t>Corresponde  ao  valor  repassado  para  pagar  ao  funcionário enquanto este não trabalha, pois ele percebe o salário referente a 30  dias  de  serviço,  dos  quais  07  (sete)  ele  tem  direito  a ausentar‐se   para   procurar   outro   emprego   ou,   se   preferir, trabalhar   duas   horas   a   menos   por   dia   durante   o   mês.   / [(100%/30) x 7]/ 12 = 1,94% Onde: 100% = salário integral / 30 = número de dias no mês / 7 = número de dias de aviso prévio a que  o  empregado  tem  direito  de  se  ausentar  /  12  =  número de meses no ano /Fonte: Acórdão TCU - Plenário nº 1513/2013, Acórdão  TCU  -  Plenário  nº  1904/2007,  e  Acórdão  TCU  – Plenário nº 3006/2010. Segundo o TCU esse percentual é o máximo a ser admitido para cotação nas planilhas de custos e formação de preços. Porém, em razão da CCT da Categoria, prever que os empregados terão direito a continuidade na contratação dos serviços, é quase nula a demissão dos empregados terceirizados nessa situação. Logo a provisão desta empresa representa: [(100%/30) x 7]/ 12 = 1,94%*2% =  0,04 %.</t>
  </si>
  <si>
    <t>INCIDÊNCIA DO SUBMÓDULO 2.2 SOBRE O AVISO PRÉVIO TRABALHADO</t>
  </si>
  <si>
    <t>Total do Submódulo 2.2 x o item D do submódulo 3.</t>
  </si>
  <si>
    <t>MULTA DO FGTS NAS RESCISÕES SEM JUSTA CAUSA</t>
  </si>
  <si>
    <t>Multa do FGTS nas rescisões sem justa causa -  (Trata da multa de 40% que o empregado tem direito no caso das seguintes rescisões: 1) Rescisão Atencipada, pelo empregador, do contrato de trabalho; 2) Despedida sem justa causa, pelo empregador; 3) Despedida sem justa causa pelo empregador; 4) Rescisão indireta pelo empregador) e da Multa de 20% nas seguintes resciões: 1) Rescisão por culpa recíproca; 2) Rescisão por força maior; 3) Acordo empregado / empregador; e não há a aplicação de multa nas seguintes rescisões:  1) Rescisão do contrato de trabalho por falecimento do empregado; 2) Despedida por justa causa pelo empregador; 3) Extinção normal do contrato de trabalho por prazo determinado; 3) Rescisão antecipada, pelo empregado, do contrato de trabalho; 4) Rescisão contratual a pedido do empregado.  Portanto, apesar da IN 05 prever o percentual da multa de 40% sobre o Aviso Prévio Trabalhado, na verdade essa multa se dá sobre os depósitos do FGTS nos casos de rescisão sem justa causa, conforme justificado acima, vimos que a realidade referente ao percentual dessa multa é outro, já que não são todos os tipos de rescisões que prevêm a multa no percentual de 40%, como vimos, existem a multa de 20% e também existe a rescisão sem a previsão de multa. Desta forma,  tendo em vista que a média de 84,70% dos empregados desta empresa são demitidos fazendo juz a multa de 40%,  a provisão para esse item representa: (0,08*0,4)*0,847*(1+5/56+5/56+(1/3*5/56)) = 3,28%</t>
  </si>
  <si>
    <t xml:space="preserve">JUSTIFICATIVA: SOBRE O AVISO PRÉVIO INDENIZADO: Esse trata de valor devido ao empregado no caso de o empregador rescindir o contrato sem justo motivo e sem lhe conceder o prazo para o cumprimento do aviso prévio. 
Antes de mais nada, vale ressaltar que na atual conjuntura econômica de nosso País, o percentual de casos em que esta e qualquer outra empresa de qualquer ramo econômico ofereça a indenização de aviso prévio é quase nula, ocorrendo em casos extremamente raros, já que dispor de um salário integral, acrescidos das demais verbas trabalhistas sem a compensatória prestação de serviços, onera demais o passivo trabalhista de qualquer empresa, prejudicando assim a operacionalização dos serviços, bem como sua saúde financeira.
Além do mais, com o advindo da reforma trabalhista em 2017, pela Lei 13.467/2017, se regularizou uma prática já corriqueira entre empregado e empregador, onde ambos estabeleciam um acordo para dispensa do empregado, já que o empregado queria sair da empresa mas não queria perder direitos, a reforma veio com objetivo de diminuir o valor das verbas trabalhistas e assim possibilitar a dispensa já que existia interesse recíproco.
O artigo 484-A dispõe que “o contrato de trabalho poderá ser extinto por acordo entre empregado e empregador (…)”.
Tendo em vista a nova previsão no diploma trabalhista, o aviso prévio se indenizado será pago pela metade e a indenização sobre o saldo do FGTS de 20%, sendo limitado a 80% do valor do depósito (artigo 484-A, § 1º da CLT) as demais verbas serão pagas da mesma forma como anterior a nova Lei, indenização fundiária, o saldo de salário (valor devido pelos dias trabalhados no mês da dispensa); o 13º salário proporcional aos meses trabalhados no respectivo ano; e férias vencidas e/ou proporcionais acrescidas do terço constitucional. Não sendo permitido o recebimento do seguro desemprego. (Artigo 484-A, § 2º da CLT).
Ou seja, além de ser remota a dispensa do empregado a fim de pagamento do aviso prévio indenizado, a Nova Lei Trabalhista ainda prevê que tal prática seja de comum acordo entre o emprego e empregador, razão pela qual, a provisão de 1% dos empregados nessa situação ser suficiente para cumprir com o exigido no edital de licitação.
D - SOBRE O AVISO PRÉVIO TRABALHADO: Como descrito na justificativa, a CCT da Categoria prevê em sua Cláusula Vigésima Nona o seguinte:
"POLÍTICAS DE MANUTENÇÃO DO EMPREGO
CLÁUSULA TRIGÉSIMA SEXTA - INCENTIVO À CONTINUIDADE
Fica pactuado que as empresas que sucederem outras na prestação do mesmo serviço, em razão de nova licitação pública ou novo contrato administrativo ou particular e/ou contrato emergencial, ficarão obrigadas a contratar os empregados da empresa anterior respeitando todas as estabilidades legais, inclusive as gestantes; membros de CIPA; e todos os demais funcionários que na data do desligamento possua qualquer tipo de estabilidade legal e/ou funcional, sem descontinuidade quanto ao pagamento dos salários e a prestação dos serviços, limitado ao quantitativo de empregados do novo contrato, obrigando as empresas que perderem o contrato a comunicar o fato ao sindicato laboral, inclusive por correspondência eletrônica, até 20 (vinte) dias antes do final do mesmo.
.............
§ 3º - Item IV - A empresa que está perdendo o contrato de prestação de serviços fica desobrigada do pagamento do aviso prévio e suas respectivas projeções, conforme previsto  no art. 12º das Leis nº 13.932/2019, obrigando-se, entretanto, a pagar as demais verbas rescisórias, sendo que a multa fundiária (art. 4º Decreto nº 99.684/90), será calculada no percentual de 40% do FGTS devido ao empregado. "
Além do mais, o edital em seu subitem 29.12 do TR do Edital, menciona que em caso a CCT da Categoria preveja a cláusula de Incentivo a Continuidade, a mesma será obrigada a contratar todos os empregados da empresa anterio. Sendo assim, caso essa empresa venha a perder o contrato futuramente, outra empresa passará a ser sucessora dos serviços e estará obrigada a contratar todos os empregados lotados na frente de serviços, sendo que esta não será obrigada a pagar o aviso prévio trabalhado, conforme descrito na Cláusula da CCT acima, razão pela qual, a previsão de 2% para esse custo é mais do que suficiente para cumprir com o exigido no edital em referência.
</t>
  </si>
  <si>
    <r>
      <rPr>
        <b/>
        <sz val="9.5"/>
        <rFont val="Calibri"/>
        <family val="2"/>
        <scheme val="minor"/>
      </rPr>
      <t>MÓDULO 4 - Custo de Reposição do Profissional Ausente
Submódulo 4.1 – Substituto nas Ausências Legais:</t>
    </r>
  </si>
  <si>
    <t>Submódulo 4.1 – Substituto nas Ausências Legais</t>
  </si>
  <si>
    <t>SUBSTITUTO NA COBERTURA DE FÉRIAS</t>
  </si>
  <si>
    <r>
      <rPr>
        <sz val="9.5"/>
        <rFont val="Calibri"/>
        <family val="2"/>
        <scheme val="minor"/>
      </rPr>
      <t>SUBSTITUTO NA COBERTURA
DE AUSÊNCIAS LEGAIS</t>
    </r>
  </si>
  <si>
    <t xml:space="preserve">Art.   473   da   CLT   descreve   as   motivações   de   faltas   de empregados   ao   serviço   sem   que   haja   prejuízo   do   salário correspondente. São eles: por morte do cônjuge, ascendente ou descendente;   registro   de   nascimento   de   filho;     casamento; doação  de  sangue;  alistamento  eleitoral;   exigência  do  serviço militar.   Arts.   473,   I   a   IX,   e   822   da   CLT.   MEMÓRIA DE CÁLCULO: (2,96d/30d/12m)x3%x100 = 0,02% </t>
  </si>
  <si>
    <t>SUBSTITUTO NA COBERTURA DE LICENÇA PATERNIDADE</t>
  </si>
  <si>
    <t>Art. 7°, XIX, da CF, combinado com o art. 10, § 1º, dos Atos das  Disposições  Constitucionais  Transitórias  (ADCT).  Quanto ao  cálculo,  utilizam-se  os  dados  estatísticos  de  1,5%  que  se tornam   pais.   [(5/30)   /   12   x   0,015]   x   100.   O   cálculo   do determinado  item  deverá  levar  em  consideração  a  Base  de Cálculo  para  o  Custo  de  Reposição  do  Profissional  Ausente (BCCPA = Remuneração + 13° Salário + Férias + 1/3 Férias). Cálculo: (((BCCPA/30)*5DIAS)/12)*1,5%.</t>
  </si>
  <si>
    <r>
      <rPr>
        <sz val="9.5"/>
        <rFont val="Calibri"/>
        <family val="2"/>
        <scheme val="minor"/>
      </rPr>
      <t>SUBSTITUTO NA COBERTURA
DE AUSÊNCIA POR ACIDENTE DE TRABALHO</t>
    </r>
  </si>
  <si>
    <t>(O art. 27 do Decreto nº 89.312/84 obriga o empregador a assumir o ônus financeiro pelo prazo de 15 dias, no caso de acidente de trabalho previsto no art. 131 da CLT. De acordo com estatísticas dessa empresa em média menos de  1% dos empregados se acidentam no trabalho no ano. Assim a provisão corresponde a: MEMÓRIA DE CÁLCULO:(15 ÷ 30 ÷ 12 x 0,01 x 100 = 0,04%): 0,04%</t>
  </si>
  <si>
    <r>
      <rPr>
        <sz val="9.5"/>
        <rFont val="Calibri"/>
        <family val="2"/>
        <scheme val="minor"/>
      </rPr>
      <t>SUBSTITUTO NA COBERTURA
DE AFASTAMENTO MATERNIDADE</t>
    </r>
  </si>
  <si>
    <t xml:space="preserve"> (Conforme arts. 6º e 7º, inciso XVIII, 201, inciso II e 203, inciso I da CF; Lei Ordinária Federal nº 8.123/91, arts. 71 a 73. A licença maternidade tem duração de 120 dias. O cálculo deve considerar 4/12 de adicional de 1/3 de férias e 4/12 de 13º salário da profissional substituta. De acordo com as estatísticas desta empresa  31,00% dos profissionais que trabalham como brigadistas são mulheres e que a média de 10% dessas brigadistas recebem o benefício Cálculo: ((1 ÷ 12 x 4) + (1,33 ÷ 12 x 4)) ÷ 12 x 0,31) = 0,02%</t>
  </si>
  <si>
    <t>TOTAL DAS AUSÊNCIAS LEGAIS</t>
  </si>
  <si>
    <t>---</t>
  </si>
  <si>
    <r>
      <rPr>
        <b/>
        <sz val="9.5"/>
        <rFont val="Calibri"/>
        <family val="2"/>
        <scheme val="minor"/>
      </rPr>
      <t xml:space="preserve">Submódulo 4.2 – Substituto na Intrajornada
A) Substituto na cobertura de Intrajornada - </t>
    </r>
    <r>
      <rPr>
        <b/>
        <u/>
        <sz val="9.5"/>
        <color rgb="FF0000FF"/>
        <rFont val="Calibri"/>
        <family val="2"/>
        <scheme val="minor"/>
      </rPr>
      <t>DEVE SER CONSIDERADA 1</t>
    </r>
    <r>
      <rPr>
        <b/>
        <sz val="9.5"/>
        <color rgb="FF0000FF"/>
        <rFont val="Calibri"/>
        <family val="2"/>
        <scheme val="minor"/>
      </rPr>
      <t xml:space="preserve"> (</t>
    </r>
    <r>
      <rPr>
        <b/>
        <u/>
        <sz val="9.5"/>
        <color rgb="FF0000FF"/>
        <rFont val="Calibri"/>
        <family val="2"/>
        <scheme val="minor"/>
      </rPr>
      <t>UMA) HORA NO CUSTO DOS POSTOS 12X36</t>
    </r>
    <r>
      <rPr>
        <b/>
        <sz val="9.5"/>
        <color rgb="FF0000FF"/>
        <rFont val="Calibri"/>
        <family val="2"/>
        <scheme val="minor"/>
      </rPr>
      <t xml:space="preserve"> </t>
    </r>
    <r>
      <rPr>
        <b/>
        <u/>
        <sz val="9.5"/>
        <color rgb="FF0000FF"/>
        <rFont val="Calibri"/>
        <family val="2"/>
        <scheme val="minor"/>
      </rPr>
      <t>DIURNOS E NOTURNOS</t>
    </r>
    <r>
      <rPr>
        <b/>
        <sz val="9.5"/>
        <rFont val="Calibri"/>
        <family val="2"/>
        <scheme val="minor"/>
      </rPr>
      <t>.</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</si>
  <si>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((Salário   Base   +   Adicional   de   Periculosidade   +   Adicional   de   Insalubridade   + Adicional Noturno + Hora Noturna Adicional + Adicional de Hora Extra)/Jornada Mensal)  *  (Adicional  de  Hora  Extra)  *  (Nº  de  Horas  do  intervalo)  *  (Dias trabalhados)</t>
    </r>
  </si>
  <si>
    <r>
      <rPr>
        <u/>
        <sz val="9.5"/>
        <rFont val="Calibri"/>
        <family val="2"/>
        <scheme val="minor"/>
      </rPr>
      <t>Posto 12x 36hs Diurno</t>
    </r>
    <r>
      <rPr>
        <sz val="9.5"/>
        <rFont val="Calibri"/>
        <family val="2"/>
        <scheme val="minor"/>
      </rPr>
      <t xml:space="preserve">:
</t>
    </r>
    <r>
      <rPr>
        <b/>
        <sz val="9.5"/>
        <rFont val="Calibri"/>
        <family val="2"/>
        <scheme val="minor"/>
      </rPr>
      <t>((R$ 3.371,85)  /  (220hs)  *  150% *  (1h)  *  (15dias) = R$ 344,85</t>
    </r>
  </si>
  <si>
    <r>
      <rPr>
        <u/>
        <sz val="9.5"/>
        <rFont val="Calibri"/>
        <family val="2"/>
        <scheme val="minor"/>
      </rPr>
      <t>Posto 12x 36hs Diurno</t>
    </r>
    <r>
      <rPr>
        <sz val="9.5"/>
        <rFont val="Calibri"/>
        <family val="2"/>
        <scheme val="minor"/>
      </rPr>
      <t xml:space="preserve">:
</t>
    </r>
    <r>
      <rPr>
        <b/>
        <sz val="9.5"/>
        <rFont val="Calibri"/>
        <family val="2"/>
        <scheme val="minor"/>
      </rPr>
      <t>((R$ 3.371,85)  /  (220hs)  *  150% *  (1h)  *  (15dias) = R$ 382,35</t>
    </r>
  </si>
  <si>
    <r>
      <rPr>
        <u/>
        <sz val="9.5"/>
        <rFont val="Calibri"/>
        <family val="2"/>
        <scheme val="minor"/>
      </rPr>
      <t>Fundamenta</t>
    </r>
    <r>
      <rPr>
        <sz val="9.5"/>
        <rFont val="Calibri"/>
        <family val="2"/>
        <scheme val="minor"/>
      </rPr>
      <t>ç</t>
    </r>
    <r>
      <rPr>
        <u/>
        <sz val="9.5"/>
        <rFont val="Calibri"/>
        <family val="2"/>
        <scheme val="minor"/>
      </rPr>
      <t xml:space="preserve">ão Jurídica:
</t>
    </r>
    <r>
      <rPr>
        <u/>
        <sz val="9.5"/>
        <color rgb="FF0000ED"/>
        <rFont val="Calibri"/>
        <family val="2"/>
        <scheme val="minor"/>
      </rPr>
      <t>CLT</t>
    </r>
    <r>
      <rPr>
        <sz val="9.5"/>
        <rFont val="Calibri"/>
        <family val="2"/>
        <scheme val="minor"/>
      </rPr>
      <t xml:space="preserve">: art. 71, §4;
Súmula nº </t>
    </r>
    <r>
      <rPr>
        <u/>
        <sz val="9.5"/>
        <color rgb="FF0000ED"/>
        <rFont val="Calibri"/>
        <family val="2"/>
        <scheme val="minor"/>
      </rPr>
      <t>437</t>
    </r>
    <r>
      <rPr>
        <sz val="9.5"/>
        <rFont val="Calibri"/>
        <family val="2"/>
        <scheme val="minor"/>
      </rPr>
      <t xml:space="preserve">, TST
OBS: Preferencialmente, o intervalo deverá ser usufruído pelo empregado. Caso não seja possível, e, desde que haja expressa previsão no edital poderá ser cotado o respectivo encargo.
</t>
    </r>
    <r>
      <rPr>
        <b/>
        <sz val="9.5"/>
        <rFont val="Times New Roman"/>
        <family val="1"/>
      </rPr>
      <t/>
    </r>
  </si>
  <si>
    <t>MÓDULO 5: Insumos Diversos</t>
  </si>
  <si>
    <t>A) Uniforme:</t>
  </si>
  <si>
    <t>MEMÓRIA DE CÁLCULOS UNIFORMES</t>
  </si>
  <si>
    <t>Item</t>
  </si>
  <si>
    <t>Peças</t>
  </si>
  <si>
    <t>un</t>
  </si>
  <si>
    <t>Qtde Anual a ser fornecida</t>
  </si>
  <si>
    <t>Vida útil estimada (meses)</t>
  </si>
  <si>
    <t>Custo unitário</t>
  </si>
  <si>
    <t>Custo anual</t>
  </si>
  <si>
    <t>Custo Mensal</t>
  </si>
  <si>
    <t>Sapato</t>
  </si>
  <si>
    <t>unidade</t>
  </si>
  <si>
    <t xml:space="preserve">Camisa </t>
  </si>
  <si>
    <t>Jaqueta de frio</t>
  </si>
  <si>
    <t>Capa de chuva</t>
  </si>
  <si>
    <t>Boné com emblema</t>
  </si>
  <si>
    <t>Meia</t>
  </si>
  <si>
    <t>Cinto de couro</t>
  </si>
  <si>
    <t>TOTAL UNIFORME DO POSTO</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</si>
  <si>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((Preço do Uniforme) * (Quantidade Anual)) / 12</t>
    </r>
  </si>
  <si>
    <t>B) Materiais:</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</si>
  <si>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Não  irão  compor  a  Planilha  de  Custos  e  Formação  de  Preços,  pois  serão  pagos pelo CONTRATANTE apenas os materiais efetivamente consumidos.</t>
    </r>
  </si>
  <si>
    <t>B) Equipamentos</t>
  </si>
  <si>
    <t xml:space="preserve">EQUIPAMENTOS </t>
  </si>
  <si>
    <t>Descrição</t>
  </si>
  <si>
    <t>UN</t>
  </si>
  <si>
    <t>Qtde Annual a ser fornecida</t>
  </si>
  <si>
    <t>Vida útil estimada</t>
  </si>
  <si>
    <t>Valor Unitário</t>
  </si>
  <si>
    <t>Valor anual</t>
  </si>
  <si>
    <t>Valor Total</t>
  </si>
  <si>
    <t>Revólver calibre .38, comprimento do cano de 5 a 6 polegadas, capacidade mínima de 6 tiros, 6 raias, O revólver deverá ser novo.</t>
  </si>
  <si>
    <t>Colete balístico nível de proteção III-A, resistente a disparos de projéteis calibre 44 Mag e 9 mm, de forma que permita a proteção das partes vitais e que obedeça as normas exigidas pelo Exército Brasileiro, com proteção frontal (torax e abdômen), dorsal (costas) e lateral do tronco, de forma que proteja as áreas vitais e que atendas os requisitos balísticos da norma NIJ Stander 010104.</t>
  </si>
  <si>
    <t>Capa para colete balístico confeccionado em tecido RIP STOP CORDURA, na forma de envelope onde serão acondicionados os painéis balísticos, devendo conter regulagem de altura realizada por velcros alta aderência posicionado na altura dos ombros, bem como regulagem laterais para permitir um melhor ajuste ao tórax do usuário.</t>
  </si>
  <si>
    <t>Bastão antitumulto de polímero ou material similar (vedado o de madeira), comprimento 58 cm, tipo tonfa, formato anatômico, na cor preta, cabo sulcos transversais toda extensão.</t>
  </si>
  <si>
    <t>Cinto tático com porta bastão antitumulto e baleiro, com regulagem em velcro, em tecido RIP STOP, confeccionado em material durável em alta resistência, com execelente acabamento e na cor preta</t>
  </si>
  <si>
    <t>Munição para calibre .38, nova, conforme modelo do revólver e um jogo completo sobressalente para cada arma</t>
  </si>
  <si>
    <t>Apito de metal com bolinha de material levíssimo (cortiça ou isopor - não podendo encharcar em contato com a água), emissão de aproximadamente 115 Db de som, com fiel profissional para apito, confeccionado em naylon trançado, medindo aproximadamente 1 metro de comprimento.</t>
  </si>
  <si>
    <t>Lanterna (incluindo as pilhas) de tipo utilitário, resistente à água e a pequenas quedas, de dimensões e potência adequadas à execução do serviço em cada posto;</t>
  </si>
  <si>
    <t>Coldre para revólver cal. 38, interno, de cintura, com presilha ou passador de cinta, em cordura.</t>
  </si>
  <si>
    <t>Livro de ocorrência tipo ata em margens e acabamento em capa dura</t>
  </si>
  <si>
    <t>Total do Conjunto</t>
  </si>
  <si>
    <t>Total do Conjunto por vigilante</t>
  </si>
  <si>
    <r>
      <rPr>
        <b/>
        <sz val="11"/>
        <rFont val="Calibri"/>
        <family val="2"/>
        <scheme val="minor"/>
      </rPr>
      <t xml:space="preserve">MÓDULO 6: Custos Indiretos, Tributos e Lucro
</t>
    </r>
    <r>
      <rPr>
        <sz val="11"/>
        <rFont val="Calibri"/>
        <family val="2"/>
        <scheme val="minor"/>
      </rPr>
      <t>Empresa Optante pelo Lucro Real</t>
    </r>
  </si>
  <si>
    <t>A) Custos Indiretos: 0,50%</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</si>
  <si>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Percentual de Custos Indiretos</t>
    </r>
  </si>
  <si>
    <r>
      <rPr>
        <b/>
        <u/>
        <sz val="10"/>
        <color theme="1"/>
        <rFont val="Calibri"/>
        <family val="2"/>
        <scheme val="minor"/>
      </rPr>
      <t>CUSTOS INDIRETOS:</t>
    </r>
    <r>
      <rPr>
        <sz val="10"/>
        <color theme="1"/>
        <rFont val="Calibri"/>
        <family val="2"/>
        <scheme val="minor"/>
      </rPr>
      <t xml:space="preserve">
Dentre esses itens temos os relativos aos custos indiretos, que compreende todas as despesas não alocáveis diretamente à execução dos serviços, são custos decorrentes, por conseguinte, das necessidades e obrigações do executor.
Enquanto os custos diretos são objetivos e vinculados à especificação dos serviços e suas quantificações, os indiretos são subjetivos e associados ao executor, às suas necessidades operacionais (administração central, seguros, garantia, caixa), de rentabilidade e outras obrigações comerciais.
Toda empresa possui uma estrutura administrativa com custo e dimensão próprios. A sua representação no LDI de um contrato é definida estabelecendo em que proporção esse custo é apropriado como despesa de um serviço. Pode ser de forma integral, quando a empresa executa apenas um serviço, ou de forma parcial, na hipótese de rateio entre vários serviços executados pela empresa.
Vale lembrar que esses custos variam entre as empresas pois depende da gestão financeira de cada uma, além de serem rateados entre os demais contratos firmados, razão pela qual não devem ser estipulados de forma obrigatória.
Finalmente, considerando que este item será destinado as despesas relacionadas à administração central, temos a informar que esta empresa além de estar situada em Brasília de forma sólida há muitos anos, estar sediada em imóvel próprio do seu grupo econômico financeiro e tais custos serem destinados a pagar somente despesas administrativas, tais como água, luz, telefone, IPTU, folha de pagamento do pessoal do escritório, material de expediente, despesas financeiras, dentre outros e finalmente, que os mesmos são rateados entre os demais contratos firmados por esta empresa, o percentual informado em sua planilha de custos é suficiente para a gestão administrativa e operacional de forma eficiente e competente.
</t>
    </r>
  </si>
  <si>
    <t>B) Lucro: 0,25%</t>
  </si>
  <si>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Custos  Indiretos)  * Percentual de Lucro</t>
    </r>
  </si>
  <si>
    <r>
      <rPr>
        <b/>
        <sz val="10"/>
        <color theme="1"/>
        <rFont val="Calibri"/>
        <family val="2"/>
        <scheme val="minor"/>
      </rPr>
      <t>LUCRO:</t>
    </r>
    <r>
      <rPr>
        <sz val="10"/>
        <color theme="1"/>
        <rFont val="Calibri"/>
        <family val="2"/>
        <scheme val="minor"/>
      </rPr>
      <t xml:space="preserve">
O lucro é um conceito econômico que pode ser descrito de diversas formas para representar uma remuneração alcançada em consequência do desenvolvimento de uma determinada atividade econômica. 
Ele complementa a formação do Preço de Venda, sem que possa ser considerada como item de custo, ele é, na verdade, uma parcela destinada a remunerar os fatores da produção do Executor que intervêm no serviço, tais como: custo de oportunidade do capital aplicado na operacionalização dos serviços; capacidade administrativa e gerencial para a administração do contrato e a condução do serviço, representado pelas estruturas organizacionais da empresa e pelo conjunto de normas e procedimentos de que se utiliza; conhecimento tecnológico adquirido através de experiências pregressas e pelo investimento em formação, treinamento de pessoal e compra de know how e, finalmente, o risco do negócio. A margem é, assim, um excedente sobre o custo orçado, através do qual o Executor buscará realizar seu Lucro.
Dependendo da escolha da estratégia comercial, a empresa pode ser bem agressiva na proposta de preços. Quanto menor for a taxa percentual ofertada, maior será a competitividade da proposta.
O ordenamento jurídico vigente no país, fundado nos princípios da livre iniciativa e da livre concorrência, assegura à empresa a liberdade para agir e conquistar mercados, para estabelecer os preços pelos quais vai vender seus produtos e serviços, sendo vedados o abuso do direito, o uso arbitrário da condição de agente econômico e a obtenção de vantagens ilícitas, na medida em que impõe a toda a coletividade condições que lhe são absolutamente desfavoráveis.
O que é esperado comumente na oferta do lucro para o valor de um contrato é a utilização da expectativa de retorno de um projeto para a empresa, comparada com investimentos alternativos e com a oportunidade do contrato pretendido. Para esse resultado esperado, normalmente é realizada uma avaliação financeira, de acordo com a condição da empresa, avaliação financeira essa que resultou no percentual apresentado, percentual esse compatível com qualquer outro investimento oferecido no mercado financeiro.
Da mesma maneira que os custos indiretos, esse também é um custo que varia de empresa para empresa e depende principalmente da estratégica comercial de cada uma, sendo que a estratégia tomada por esta empresa na cotação do percentual de lucro ofertado ser suficiente para sua manutenção e saúde financeira e estar além de qualquer outra taxa de investimento praticada atualmente no mercado financeiro.
</t>
    </r>
  </si>
  <si>
    <r>
      <t xml:space="preserve">C) Tributos: </t>
    </r>
    <r>
      <rPr>
        <sz val="9.5"/>
        <rFont val="Calibri"/>
        <family val="2"/>
        <scheme val="minor"/>
      </rPr>
      <t>8,65%, sendo 3% de Cofins, 0,65% de Pis e 5% de ISS</t>
    </r>
  </si>
  <si>
    <r>
      <rPr>
        <u/>
        <sz val="9.5"/>
        <rFont val="Calibri"/>
        <family val="2"/>
        <scheme val="minor"/>
      </rPr>
      <t>Metodolo</t>
    </r>
    <r>
      <rPr>
        <sz val="9.5"/>
        <rFont val="Calibri"/>
        <family val="2"/>
        <scheme val="minor"/>
      </rPr>
      <t>g</t>
    </r>
    <r>
      <rPr>
        <u/>
        <sz val="9.5"/>
        <rFont val="Calibri"/>
        <family val="2"/>
        <scheme val="minor"/>
      </rPr>
      <t>ia de Cálculo</t>
    </r>
    <r>
      <rPr>
        <sz val="9.5"/>
        <rFont val="Calibri"/>
        <family val="2"/>
        <scheme val="minor"/>
      </rPr>
      <t xml:space="preserve">:
</t>
    </r>
    <r>
      <rPr>
        <b/>
        <sz val="9.5"/>
        <rFont val="Calibri"/>
        <family val="2"/>
        <scheme val="minor"/>
      </rPr>
      <t>(Módulo  1  +  Módulo  2  +  Módulo  3  +  Módulo  4  +  Módulo  5  +  Custos  Indiretos  + Lucro) / (1 – Soma dos percentuais de tributos)</t>
    </r>
  </si>
  <si>
    <r>
      <rPr>
        <b/>
        <sz val="10"/>
        <color theme="1"/>
        <rFont val="Calibri"/>
        <family val="2"/>
        <scheme val="minor"/>
      </rPr>
      <t xml:space="preserve">TRIBUTOS - </t>
    </r>
    <r>
      <rPr>
        <b/>
        <sz val="10"/>
        <color rgb="FFFF0000"/>
        <rFont val="Calibri"/>
        <family val="2"/>
        <scheme val="minor"/>
      </rPr>
      <t>EMPRESA OPTANTE PELO LUCRO REAL:</t>
    </r>
    <r>
      <rPr>
        <sz val="10"/>
        <color theme="1"/>
        <rFont val="Calibri"/>
        <family val="2"/>
        <scheme val="minor"/>
      </rPr>
      <t xml:space="preserve">
declara, para os devidos fins, de acordo com o previsto no item 6.1.1.7, que será adotado durante a execução do contrato, o Regime de Tributação pelo Lucro Real.
Declaro ainda, que as empresas de vigilância regulamentadas pela Lei 7.102/83 permaneceram com as alíquotas de 1,65% para PIS e 0,65% para COFINS, independentemente de serem optantes pelo Lucro Real ou Presumido, não sendo possível o aproveitamento de créditos tributários nesse caso, conforme dispositivo de Lei descrito abaixo:
Lei 10.637/2002
Art. 8º. Permanecem sujeitas às normas da legislação da contribuição para o PIS/Pasep, vigentes anteriormente a esta Lei, não se lhes aplicando as disposições dos arts. 1º. a 6º.:
I – as pessoas jurídicas referidas nos §§ 6º., 8º. e 9º. do art. 3º. da Lei no 9.718, de 27 de novembro de 1998 (parágrafos introduzidos pela Medida Provisória no. 2.158-35, de 24 de agosto de 2001), e Lei no. 7.102, de 20 de junho de 1983;
Lei 10.833/03
Art. 10. Permanecem sujeitas às normas da legislação da COFINS, vigentes anteriormente a esta Lei, não se lhes aplicando as disposições dos arts. 1º. a 8º.:
I - as pessoas jurídicas referidas nos §§ 6º., 8º. e 9º. do art. 3º. da Lei no 9.718, de 1998, e na Lei N.  7.102, de 20 de junho de 1983;
Segue em anexo a Planilha de apuração do percentual médio de PIS e COFINS dos últimos 12 (doze) meses para fins de comprovação das alíquotas recolhidas por esta empresa, bem como os documentos ficais encaminhados à Receita Federal.</t>
    </r>
  </si>
  <si>
    <t>(R$ 5,50) * (2 vales) * (22 dias) – (6% * R$ 3.111,12)</t>
  </si>
  <si>
    <r>
      <rPr>
        <b/>
        <u/>
        <sz val="9.5"/>
        <rFont val="Calibri"/>
        <family val="2"/>
        <scheme val="minor"/>
      </rPr>
      <t>Metodolo</t>
    </r>
    <r>
      <rPr>
        <b/>
        <sz val="9.5"/>
        <rFont val="Calibri"/>
        <family val="2"/>
        <scheme val="minor"/>
      </rPr>
      <t>g</t>
    </r>
    <r>
      <rPr>
        <b/>
        <u/>
        <sz val="9.5"/>
        <rFont val="Calibri"/>
        <family val="2"/>
        <scheme val="minor"/>
      </rPr>
      <t>ia de Cálculo</t>
    </r>
    <r>
      <rPr>
        <b/>
        <sz val="9.5"/>
        <rFont val="Calibri"/>
        <family val="2"/>
        <scheme val="minor"/>
      </rPr>
      <t xml:space="preserve">:
Postos 44hs semanais:  </t>
    </r>
    <r>
      <rPr>
        <sz val="9.5"/>
        <rFont val="Calibri"/>
        <family val="2"/>
        <scheme val="minor"/>
      </rPr>
      <t xml:space="preserve">(R$ 45,12)  *  (22 dias)  - (2%)  </t>
    </r>
    <r>
      <rPr>
        <b/>
        <sz val="9.5"/>
        <rFont val="Calibri"/>
        <family val="2"/>
        <scheme val="minor"/>
      </rPr>
      <t xml:space="preserve">                                                                                                                                                                                                                                                       Postos 12x36hs:             </t>
    </r>
    <r>
      <rPr>
        <sz val="9.5"/>
        <rFont val="Calibri"/>
        <family val="2"/>
        <scheme val="minor"/>
      </rPr>
      <t xml:space="preserve"> (R$ 45,12)  *  (15 dias)  - (2%)</t>
    </r>
  </si>
  <si>
    <t>A CF,  no  art.  7°,  XVII,  dispõe  que  é  direito  do  trabalhador  o "gozo de férias anuais remuneradas com pelo menos um terço a mais  do  que  o  salário  normal".  Arts.  129,  130,  142  e  143, da  CLT.  Cálculo:  percentual  estabelecido  pelo  Anexo  XII  da Instrução  Normativa  MPDG  n.º  5/2017.  Como  convencionado pela   Administração,   a   rubrica   Férias   no   Submódulo   2.1B permanecerá zerada; Assim, no Submódulo 4.1A, o percentual respectivo  será  integral,  ou  seja,  de  8,33%.  É  descabida  a reformulação da PCFP quanto aos citados Submódulos, no caso de prorrogação contratual - Memória de cálculo = 1/12*100= 8,33%/12=0,93%</t>
  </si>
  <si>
    <t>1. Supervisor de Vigilância</t>
  </si>
  <si>
    <t>2. Vigilante Armado Diurno</t>
  </si>
  <si>
    <t>3. Vigilante Armado Noturno</t>
  </si>
  <si>
    <t>4. Vigilante Armado Motorizado Noturno</t>
  </si>
  <si>
    <t>5. Vigilante Desarmado Diurno</t>
  </si>
  <si>
    <t>À</t>
  </si>
  <si>
    <t>ANA</t>
  </si>
  <si>
    <t>PREGÃO ELETRÔNICO  N° 29/2023</t>
  </si>
  <si>
    <t>IPVA</t>
  </si>
  <si>
    <t>Troca de pneus</t>
  </si>
  <si>
    <t xml:space="preserve">    F - Substituto na cobertura ausência por doença</t>
  </si>
  <si>
    <t>SUBSTITUTO NA COBERTURA
DE OUTRAS AUSÊNCIAS</t>
  </si>
  <si>
    <r>
      <t>1)</t>
    </r>
    <r>
      <rPr>
        <sz val="12"/>
        <color rgb="FF000000"/>
        <rFont val="Arial Narrow"/>
        <family val="2"/>
      </rPr>
      <t xml:space="preserve"> No preço proposto inclusos todos os custos operacionais, encargos previdenciários, trabalhistas, tributários, comerciais e quaisquer outros que incidam direta ou indiretamente na prestação dos serviços, apurados mediante o preenchimento do modelo de Planilha de Custos e Formação de Preços,  conforme, anexo deste edital</t>
    </r>
    <r>
      <rPr>
        <b/>
        <sz val="12"/>
        <color rgb="FF000000"/>
        <rFont val="Arial Narrow"/>
        <family val="2"/>
      </rPr>
      <t>;</t>
    </r>
  </si>
  <si>
    <r>
      <t xml:space="preserve">A empresa </t>
    </r>
    <r>
      <rPr>
        <b/>
        <sz val="12"/>
        <color rgb="FF000000"/>
        <rFont val="Arial Narrow"/>
        <family val="2"/>
      </rPr>
      <t>VIPPIM VIGILÂNCIA E SEGURANÇA LTDA</t>
    </r>
    <r>
      <rPr>
        <sz val="12"/>
        <color rgb="FF000000"/>
        <rFont val="Arial Narrow"/>
        <family val="2"/>
      </rPr>
      <t>, inscrita no CNPJ sob o número 11.349.160/0001-67, sediada no endereço Rua 05 Lote 23 Loja 02 - Pólo de Modas - Guará II - Brasília - DF,  declara que concorda com todas as condições do Edital e seus anexos, e apresenta proposta de preços para prestação, de forma contínua, de serviços terceirizados de vigilância armada, diurna e noturna a serem executados nas áreas administradas pela Agência Nacional de Águas e Saneamento Básico - ANA no Complexo Administrativo no Setor Policial - SPO, Área 5, Quadra 3, CEP 70610-200, e em outros imóveis que venham ser ocupados pela ANA em Brasília - DF, conforme condições, quantidades e exigências estabelecidas neste Edital e seus anexos.</t>
    </r>
  </si>
  <si>
    <r>
      <rPr>
        <u/>
        <sz val="9.5"/>
        <rFont val="Calibri"/>
        <family val="2"/>
        <scheme val="minor"/>
      </rPr>
      <t>Metodolo</t>
    </r>
    <r>
      <rPr>
        <sz val="9.5"/>
        <rFont val="Calibri"/>
        <family val="2"/>
        <scheme val="minor"/>
      </rPr>
      <t>g</t>
    </r>
    <r>
      <rPr>
        <u/>
        <sz val="9.5"/>
        <rFont val="Calibri"/>
        <family val="2"/>
        <scheme val="minor"/>
      </rPr>
      <t>ia de Cálculo do Adicional Noturno</t>
    </r>
    <r>
      <rPr>
        <sz val="9.5"/>
        <rFont val="Calibri"/>
        <family val="2"/>
        <scheme val="minor"/>
      </rPr>
      <t xml:space="preserve">:
</t>
    </r>
    <r>
      <rPr>
        <b/>
        <sz val="9.5"/>
        <rFont val="Calibri"/>
        <family val="2"/>
        <scheme val="minor"/>
      </rPr>
      <t>((R$ 2593,73 + R$ 778,12) / (220hs) * (20%) * (7hs) * (15d)</t>
    </r>
  </si>
  <si>
    <t xml:space="preserve">    F – Outros (Fundo de Aposentadoria)</t>
  </si>
  <si>
    <t xml:space="preserve">    C - Outros (motorizado)</t>
  </si>
  <si>
    <t>Brasília - DF, 06 de fevereiro de 2024.</t>
  </si>
  <si>
    <t>(Trezentos e cinquenta e sete mil, trezentos e noventa e seis reais e sessenta e seis centavos).</t>
  </si>
  <si>
    <t>(Quatro milhões, duzentos e oitenta e oito mil, setecentos e cinquenta e nove reais e noventa e dois centavos).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</si>
</sst>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quot;R$&quot;\ #,##0.00;[Red]\-&quot;R$&quot;\ #,##0.00"/>
    <numFmt numFmtId="44" formatCode="_-&quot;R$&quot;\ * #,##0.00_-;\-&quot;R$&quot;\ * #,##0.00_-;_-&quot;R$&quot;\ * &quot;-&quot;??_-;_-@_-"/>
    <numFmt numFmtId="43" formatCode="_-* #,##0.00_-;\-* #,##0.00_-;_-* &quot;-&quot;??_-;_-@_-"/>
    <numFmt numFmtId="164" formatCode="[$R$-416]\ #,##0.00;[Red]\-[$R$-416]\ #,##0.00"/>
    <numFmt numFmtId="165" formatCode="&quot; R$&quot;#,##0.00\ ;&quot; R$(&quot;#,##0.00\);&quot; R$-&quot;#\ ;@\ "/>
    <numFmt numFmtId="166" formatCode="#,##0.00\ ;\(#,##0.00\);\-#\ ;@\ "/>
    <numFmt numFmtId="167" formatCode="&quot;R$ &quot;#,##0.00"/>
    <numFmt numFmtId="168" formatCode="d/m/yyyy"/>
    <numFmt numFmtId="169" formatCode="&quot;R$ &quot;#,##0.00\ ;[Red]&quot;(R$ &quot;#,##0.00\)"/>
    <numFmt numFmtId="170" formatCode="#,##0.00;[Red]\(#,##0.00\)"/>
    <numFmt numFmtId="171" formatCode="* #,##0.00\ ;\-* #,##0.00\ ;* \-#\ ;@\ "/>
    <numFmt numFmtId="172" formatCode="&quot;R$&quot;\ #,##0.00"/>
    <numFmt numFmtId="173" formatCode="0.000000%"/>
    <numFmt numFmtId="174" formatCode="00"/>
    <numFmt numFmtId="175" formatCode="_(&quot;R$&quot;* #,##0.00_);_(&quot;R$&quot;* \(#,##0.00\);_(&quot;R$&quot;* &quot;-&quot;??_);_(@_)"/>
  </numFmts>
  <fonts count="80" x14ac:knownFonts="1">
    <font>
      <sz val="10"/>
      <color rgb="FF000000"/>
      <name val="Arial"/>
      <family val="2"/>
      <charset val="1"/>
    </font>
    <font>
      <sz val="11"/>
      <color theme="1"/>
      <name val="Calibri"/>
      <family val="2"/>
      <scheme val="minor"/>
    </font>
    <font>
      <sz val="11"/>
      <color theme="1"/>
      <name val="Calibri"/>
      <family val="2"/>
      <scheme val="minor"/>
    </font>
    <font>
      <b/>
      <i/>
      <u/>
      <sz val="10"/>
      <color rgb="FF000000"/>
      <name val="Arial"/>
      <family val="2"/>
      <charset val="1"/>
    </font>
    <font>
      <sz val="11"/>
      <color rgb="FFFF0000"/>
      <name val="Calibri"/>
      <family val="2"/>
      <charset val="1"/>
    </font>
    <font>
      <sz val="10"/>
      <color rgb="FF000000"/>
      <name val="Arial"/>
      <family val="2"/>
      <charset val="1"/>
    </font>
    <font>
      <sz val="11"/>
      <color rgb="FFFF0000"/>
      <name val="Calibri"/>
      <family val="2"/>
      <scheme val="minor"/>
    </font>
    <font>
      <b/>
      <sz val="12"/>
      <color rgb="FF000000"/>
      <name val="Calibri"/>
      <family val="2"/>
      <scheme val="minor"/>
    </font>
    <font>
      <sz val="10"/>
      <color rgb="FF000000"/>
      <name val="Calibri"/>
      <family val="2"/>
      <scheme val="minor"/>
    </font>
    <font>
      <sz val="8"/>
      <color rgb="FF000000"/>
      <name val="Calibri"/>
      <family val="2"/>
      <scheme val="minor"/>
    </font>
    <font>
      <b/>
      <sz val="10"/>
      <color rgb="FF000000"/>
      <name val="Calibri"/>
      <family val="2"/>
      <scheme val="minor"/>
    </font>
    <font>
      <sz val="10"/>
      <name val="Calibri"/>
      <family val="2"/>
      <scheme val="minor"/>
    </font>
    <font>
      <b/>
      <sz val="8"/>
      <name val="Calibri"/>
      <family val="2"/>
      <scheme val="minor"/>
    </font>
    <font>
      <b/>
      <sz val="10"/>
      <name val="Calibri"/>
      <family val="2"/>
      <scheme val="minor"/>
    </font>
    <font>
      <b/>
      <sz val="18"/>
      <color rgb="FF000000"/>
      <name val="Calibri"/>
      <family val="2"/>
      <scheme val="minor"/>
    </font>
    <font>
      <b/>
      <sz val="11"/>
      <color rgb="FF000000"/>
      <name val="Calibri"/>
      <family val="2"/>
      <scheme val="minor"/>
    </font>
    <font>
      <b/>
      <sz val="11"/>
      <name val="Calibri"/>
      <family val="2"/>
      <scheme val="minor"/>
    </font>
    <font>
      <sz val="11"/>
      <name val="Calibri"/>
      <family val="2"/>
      <scheme val="minor"/>
    </font>
    <font>
      <sz val="11"/>
      <color rgb="FF000000"/>
      <name val="Calibri"/>
      <family val="2"/>
      <scheme val="minor"/>
    </font>
    <font>
      <sz val="11"/>
      <color rgb="FF339966"/>
      <name val="Calibri"/>
      <family val="2"/>
      <scheme val="minor"/>
    </font>
    <font>
      <sz val="11"/>
      <color rgb="FF000080"/>
      <name val="Calibri"/>
      <family val="2"/>
      <scheme val="minor"/>
    </font>
    <font>
      <b/>
      <sz val="11"/>
      <color rgb="FF000080"/>
      <name val="Calibri"/>
      <family val="2"/>
      <scheme val="minor"/>
    </font>
    <font>
      <b/>
      <sz val="10"/>
      <color rgb="FF000080"/>
      <name val="Calibri"/>
      <family val="2"/>
      <scheme val="minor"/>
    </font>
    <font>
      <sz val="11"/>
      <color rgb="FF333333"/>
      <name val="Calibri"/>
      <family val="2"/>
      <scheme val="minor"/>
    </font>
    <font>
      <sz val="11"/>
      <color rgb="FF808080"/>
      <name val="Calibri"/>
      <family val="2"/>
      <scheme val="minor"/>
    </font>
    <font>
      <b/>
      <sz val="11"/>
      <color rgb="FF808080"/>
      <name val="Calibri"/>
      <family val="2"/>
      <scheme val="minor"/>
    </font>
    <font>
      <b/>
      <sz val="11"/>
      <color rgb="FFFFFFFF"/>
      <name val="Calibri"/>
      <family val="2"/>
      <scheme val="minor"/>
    </font>
    <font>
      <sz val="11"/>
      <color rgb="FFFFFFFF"/>
      <name val="Calibri"/>
      <family val="2"/>
      <scheme val="minor"/>
    </font>
    <font>
      <b/>
      <sz val="14"/>
      <name val="Calibri"/>
      <family val="2"/>
      <scheme val="minor"/>
    </font>
    <font>
      <b/>
      <sz val="10.5"/>
      <name val="Calibri"/>
      <family val="2"/>
      <scheme val="minor"/>
    </font>
    <font>
      <b/>
      <sz val="12"/>
      <name val="Calibri"/>
      <family val="2"/>
      <scheme val="minor"/>
    </font>
    <font>
      <sz val="10"/>
      <color theme="1"/>
      <name val="Calibri"/>
      <family val="2"/>
      <scheme val="minor"/>
    </font>
    <font>
      <b/>
      <sz val="10"/>
      <color theme="1"/>
      <name val="Calibri"/>
      <family val="2"/>
      <scheme val="minor"/>
    </font>
    <font>
      <sz val="11"/>
      <color theme="4" tint="-0.249977111117893"/>
      <name val="Calibri"/>
      <family val="2"/>
      <scheme val="minor"/>
    </font>
    <font>
      <sz val="10"/>
      <color rgb="FF000000"/>
      <name val="Arial"/>
      <family val="2"/>
    </font>
    <font>
      <sz val="12"/>
      <color rgb="FF000000"/>
      <name val="Arial"/>
      <family val="2"/>
    </font>
    <font>
      <b/>
      <sz val="12"/>
      <color rgb="FF000000"/>
      <name val="Arial Narrow"/>
      <family val="2"/>
    </font>
    <font>
      <sz val="12"/>
      <color rgb="FF000000"/>
      <name val="Arial Narrow"/>
      <family val="2"/>
    </font>
    <font>
      <b/>
      <i/>
      <sz val="12"/>
      <color rgb="FF000000"/>
      <name val="Arial Narrow"/>
      <family val="2"/>
    </font>
    <font>
      <i/>
      <sz val="12"/>
      <color rgb="FF000000"/>
      <name val="Arial"/>
      <family val="2"/>
    </font>
    <font>
      <b/>
      <i/>
      <sz val="14"/>
      <color rgb="FF000000"/>
      <name val="Arial Narrow"/>
      <family val="2"/>
    </font>
    <font>
      <b/>
      <i/>
      <sz val="10"/>
      <color rgb="FF000000"/>
      <name val="Arial Narrow"/>
      <family val="2"/>
    </font>
    <font>
      <i/>
      <sz val="10"/>
      <color rgb="FF000000"/>
      <name val="Arial"/>
      <family val="2"/>
    </font>
    <font>
      <sz val="11"/>
      <color rgb="FF000000"/>
      <name val="Calibri"/>
      <family val="2"/>
    </font>
    <font>
      <u/>
      <sz val="10"/>
      <color rgb="FF0000FF"/>
      <name val="Arial"/>
      <family val="2"/>
    </font>
    <font>
      <sz val="11"/>
      <color rgb="FF000000"/>
      <name val="Arial"/>
      <family val="2"/>
    </font>
    <font>
      <sz val="9"/>
      <color rgb="FF000000"/>
      <name val="Arial"/>
      <family val="2"/>
    </font>
    <font>
      <b/>
      <sz val="9"/>
      <color rgb="FF000000"/>
      <name val="Arial"/>
      <family val="2"/>
    </font>
    <font>
      <sz val="9"/>
      <color rgb="FFC00000"/>
      <name val="Arial"/>
      <family val="2"/>
    </font>
    <font>
      <b/>
      <i/>
      <sz val="11"/>
      <color rgb="FF000000"/>
      <name val="Arial"/>
      <family val="2"/>
    </font>
    <font>
      <sz val="24"/>
      <color rgb="FF002060"/>
      <name val="Aharoni"/>
    </font>
    <font>
      <b/>
      <sz val="16"/>
      <color rgb="FF000000"/>
      <name val="Arial Narrow"/>
      <family val="2"/>
    </font>
    <font>
      <b/>
      <sz val="14"/>
      <color rgb="FF000000"/>
      <name val="Arial Narrow"/>
      <family val="2"/>
    </font>
    <font>
      <sz val="14"/>
      <color rgb="FF000000"/>
      <name val="Arial"/>
      <family val="2"/>
    </font>
    <font>
      <b/>
      <sz val="11"/>
      <color rgb="FF000000"/>
      <name val="Arial"/>
      <family val="2"/>
    </font>
    <font>
      <b/>
      <i/>
      <sz val="9"/>
      <color rgb="FF000000"/>
      <name val="Arial"/>
      <family val="2"/>
    </font>
    <font>
      <b/>
      <sz val="11"/>
      <color theme="1"/>
      <name val="Calibri"/>
      <family val="2"/>
      <scheme val="minor"/>
    </font>
    <font>
      <sz val="10"/>
      <color rgb="FF000000"/>
      <name val="Times New Roman"/>
      <family val="1"/>
    </font>
    <font>
      <b/>
      <sz val="9.5"/>
      <name val="Calibri"/>
      <family val="2"/>
      <scheme val="minor"/>
    </font>
    <font>
      <sz val="9.5"/>
      <name val="Calibri"/>
      <family val="2"/>
      <scheme val="minor"/>
    </font>
    <font>
      <u/>
      <sz val="9.5"/>
      <name val="Calibri"/>
      <family val="2"/>
      <scheme val="minor"/>
    </font>
    <font>
      <sz val="9.5"/>
      <color rgb="FF000000"/>
      <name val="Calibri"/>
      <family val="2"/>
      <scheme val="minor"/>
    </font>
    <font>
      <u/>
      <sz val="9.5"/>
      <color rgb="FF0000ED"/>
      <name val="Calibri"/>
      <family val="2"/>
      <scheme val="minor"/>
    </font>
    <font>
      <sz val="9.5"/>
      <color rgb="FF0000ED"/>
      <name val="Calibri"/>
      <family val="2"/>
      <scheme val="minor"/>
    </font>
    <font>
      <b/>
      <sz val="9.5"/>
      <color rgb="FF000000"/>
      <name val="Calibri"/>
      <family val="2"/>
      <scheme val="minor"/>
    </font>
    <font>
      <b/>
      <i/>
      <sz val="9.5"/>
      <color rgb="FFFF0000"/>
      <name val="Calibri"/>
      <family val="2"/>
      <scheme val="minor"/>
    </font>
    <font>
      <b/>
      <sz val="8.5"/>
      <name val="Calibri"/>
      <family val="2"/>
      <scheme val="minor"/>
    </font>
    <font>
      <b/>
      <u/>
      <sz val="9.5"/>
      <name val="Calibri"/>
      <family val="2"/>
      <scheme val="minor"/>
    </font>
    <font>
      <sz val="9"/>
      <name val="Calibri"/>
      <family val="2"/>
      <scheme val="minor"/>
    </font>
    <font>
      <sz val="9.5"/>
      <color theme="1"/>
      <name val="Calibri"/>
      <family val="2"/>
      <scheme val="minor"/>
    </font>
    <font>
      <b/>
      <sz val="9"/>
      <name val="Calibri"/>
      <family val="2"/>
      <scheme val="minor"/>
    </font>
    <font>
      <b/>
      <u/>
      <sz val="9.5"/>
      <color rgb="FF0000FF"/>
      <name val="Calibri"/>
      <family val="2"/>
      <scheme val="minor"/>
    </font>
    <font>
      <b/>
      <sz val="9.5"/>
      <color rgb="FF0000FF"/>
      <name val="Calibri"/>
      <family val="2"/>
      <scheme val="minor"/>
    </font>
    <font>
      <b/>
      <sz val="9.5"/>
      <name val="Times New Roman"/>
      <family val="1"/>
    </font>
    <font>
      <sz val="12"/>
      <name val="Calibri"/>
      <family val="2"/>
      <scheme val="minor"/>
    </font>
    <font>
      <sz val="9"/>
      <color theme="1"/>
      <name val="Calibri"/>
      <family val="2"/>
      <scheme val="minor"/>
    </font>
    <font>
      <b/>
      <u/>
      <sz val="10"/>
      <color theme="1"/>
      <name val="Calibri"/>
      <family val="2"/>
      <scheme val="minor"/>
    </font>
    <font>
      <b/>
      <sz val="10"/>
      <color rgb="FFFF0000"/>
      <name val="Calibri"/>
      <family val="2"/>
      <scheme val="minor"/>
    </font>
    <font>
      <sz val="10"/>
      <name val="Arial"/>
      <family val="2"/>
    </font>
    <font>
      <sz val="9"/>
      <color theme="0"/>
      <name val="Arial"/>
      <family val="2"/>
    </font>
  </fonts>
  <fills count="25">
    <fill>
      <patternFill patternType="none"/>
    </fill>
    <fill>
      <patternFill patternType="gray125"/>
    </fill>
    <fill>
      <patternFill patternType="solid">
        <fgColor rgb="FFFFFFFF"/>
        <bgColor rgb="FFFFFFCC"/>
      </patternFill>
    </fill>
    <fill>
      <patternFill patternType="solid">
        <fgColor rgb="FFAFABAB"/>
        <bgColor rgb="FFC0C0C0"/>
      </patternFill>
    </fill>
    <fill>
      <patternFill patternType="solid">
        <fgColor rgb="FFD0CECE"/>
        <bgColor rgb="FFC0C0C0"/>
      </patternFill>
    </fill>
    <fill>
      <patternFill patternType="solid">
        <fgColor rgb="FFCCFFFF"/>
        <bgColor rgb="FFCCFFFF"/>
      </patternFill>
    </fill>
    <fill>
      <patternFill patternType="solid">
        <fgColor rgb="FFC0C0C0"/>
        <bgColor rgb="FFD0CECE"/>
      </patternFill>
    </fill>
    <fill>
      <patternFill patternType="solid">
        <fgColor rgb="FF99CCFF"/>
        <bgColor rgb="FFB4C7E7"/>
      </patternFill>
    </fill>
    <fill>
      <patternFill patternType="solid">
        <fgColor rgb="FFFFF200"/>
        <bgColor rgb="FFFFFF00"/>
      </patternFill>
    </fill>
    <fill>
      <patternFill patternType="solid">
        <fgColor rgb="FF00CCFF"/>
        <bgColor rgb="FF33CCCC"/>
      </patternFill>
    </fill>
    <fill>
      <patternFill patternType="solid">
        <fgColor rgb="FF00FF00"/>
        <bgColor rgb="FF33CCCC"/>
      </patternFill>
    </fill>
    <fill>
      <patternFill patternType="solid">
        <fgColor rgb="FFCC99FF"/>
        <bgColor rgb="FFFF99CC"/>
      </patternFill>
    </fill>
    <fill>
      <patternFill patternType="solid">
        <fgColor rgb="FFCCCCFF"/>
        <bgColor rgb="FFB4C7E7"/>
      </patternFill>
    </fill>
    <fill>
      <patternFill patternType="solid">
        <fgColor rgb="FFFF6600"/>
        <bgColor rgb="FFFF9900"/>
      </patternFill>
    </fill>
    <fill>
      <patternFill patternType="solid">
        <fgColor rgb="FFFFCC00"/>
        <bgColor rgb="FFFFF200"/>
      </patternFill>
    </fill>
    <fill>
      <patternFill patternType="solid">
        <fgColor rgb="FF000000"/>
        <bgColor rgb="FF003300"/>
      </patternFill>
    </fill>
    <fill>
      <patternFill patternType="solid">
        <fgColor rgb="FFCCFFCC"/>
        <bgColor rgb="FFCCFFFF"/>
      </patternFill>
    </fill>
    <fill>
      <patternFill patternType="solid">
        <fgColor rgb="FFFFFF00"/>
        <bgColor indexed="64"/>
      </patternFill>
    </fill>
    <fill>
      <patternFill patternType="solid">
        <fgColor theme="0"/>
        <bgColor rgb="FFFFF200"/>
      </patternFill>
    </fill>
    <fill>
      <patternFill patternType="solid">
        <fgColor theme="6" tint="0.79998168889431442"/>
        <bgColor indexed="64"/>
      </patternFill>
    </fill>
    <fill>
      <patternFill patternType="solid">
        <fgColor theme="0"/>
        <bgColor indexed="64"/>
      </patternFill>
    </fill>
    <fill>
      <patternFill patternType="solid">
        <fgColor theme="0"/>
        <bgColor rgb="FFFFFFCC"/>
      </patternFill>
    </fill>
    <fill>
      <patternFill patternType="solid">
        <fgColor rgb="FFFFFFFF"/>
        <bgColor rgb="FFFFFFFF"/>
      </patternFill>
    </fill>
    <fill>
      <patternFill patternType="solid">
        <fgColor rgb="FFD9D9D9"/>
        <bgColor rgb="FFD9D9D9"/>
      </patternFill>
    </fill>
    <fill>
      <patternFill patternType="solid">
        <fgColor rgb="FFFFFF00"/>
        <bgColor rgb="FFFFFFCC"/>
      </patternFill>
    </fill>
  </fills>
  <borders count="66">
    <border>
      <left/>
      <right/>
      <top/>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style="thin">
        <color rgb="FF000000"/>
      </left>
      <right style="thin">
        <color rgb="FF000000"/>
      </right>
      <top style="thin">
        <color rgb="FF00000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diagonal/>
    </border>
    <border>
      <left style="medium">
        <color indexed="64"/>
      </left>
      <right style="thin">
        <color rgb="FF000000"/>
      </right>
      <top style="thin">
        <color rgb="FF000000"/>
      </top>
      <bottom/>
      <diagonal/>
    </border>
    <border>
      <left style="thin">
        <color rgb="FF000000"/>
      </left>
      <right style="medium">
        <color indexed="64"/>
      </right>
      <top style="thin">
        <color rgb="FF000000"/>
      </top>
      <bottom/>
      <diagonal/>
    </border>
    <border>
      <left style="medium">
        <color indexed="64"/>
      </left>
      <right style="thin">
        <color rgb="FF000000"/>
      </right>
      <top/>
      <bottom/>
      <diagonal/>
    </border>
    <border>
      <left style="medium">
        <color indexed="64"/>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top style="medium">
        <color indexed="64"/>
      </top>
      <bottom style="medium">
        <color indexed="64"/>
      </bottom>
      <diagonal/>
    </border>
    <border>
      <left style="thin">
        <color rgb="FF000000"/>
      </left>
      <right style="thin">
        <color rgb="FF000000"/>
      </right>
      <top/>
      <bottom/>
      <diagonal/>
    </border>
    <border>
      <left style="thin">
        <color rgb="FF000000"/>
      </left>
      <right style="medium">
        <color indexed="64"/>
      </right>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top/>
      <bottom style="medium">
        <color indexed="64"/>
      </bottom>
      <diagonal/>
    </border>
    <border>
      <left/>
      <right style="thin">
        <color rgb="FF000000"/>
      </right>
      <top/>
      <bottom style="medium">
        <color indexed="64"/>
      </bottom>
      <diagonal/>
    </border>
    <border>
      <left style="thin">
        <color rgb="FF2B2B2B"/>
      </left>
      <right/>
      <top/>
      <bottom/>
      <diagonal/>
    </border>
    <border>
      <left style="thin">
        <color rgb="FF2B2B2B"/>
      </left>
      <right style="thin">
        <color rgb="FF2B2B2B"/>
      </right>
      <top/>
      <bottom/>
      <diagonal/>
    </border>
    <border>
      <left/>
      <right style="thin">
        <color rgb="FF2B2B2B"/>
      </right>
      <top/>
      <bottom/>
      <diagonal/>
    </border>
    <border>
      <left style="thin">
        <color rgb="FF2B2B2B"/>
      </left>
      <right style="thin">
        <color rgb="FF2B2B2B"/>
      </right>
      <top/>
      <bottom style="thin">
        <color rgb="FF2B2B2B"/>
      </bottom>
      <diagonal/>
    </border>
    <border>
      <left/>
      <right/>
      <top style="thin">
        <color rgb="FF2B2B2B"/>
      </top>
      <bottom/>
      <diagonal/>
    </border>
  </borders>
  <cellStyleXfs count="19">
    <xf numFmtId="0" fontId="0" fillId="0" borderId="0"/>
    <xf numFmtId="166" fontId="5" fillId="0" borderId="0" applyBorder="0" applyProtection="0"/>
    <xf numFmtId="165" fontId="5" fillId="0" borderId="0" applyBorder="0" applyProtection="0"/>
    <xf numFmtId="9" fontId="5" fillId="0" borderId="0" applyBorder="0" applyProtection="0"/>
    <xf numFmtId="164" fontId="3" fillId="0" borderId="0" applyBorder="0" applyProtection="0"/>
    <xf numFmtId="0" fontId="4" fillId="0" borderId="0"/>
    <xf numFmtId="0" fontId="34" fillId="0" borderId="0" applyNumberFormat="0" applyBorder="0" applyProtection="0"/>
    <xf numFmtId="0" fontId="43" fillId="0" borderId="0"/>
    <xf numFmtId="0" fontId="44" fillId="0" borderId="0" applyNumberFormat="0" applyFill="0" applyBorder="0" applyAlignment="0" applyProtection="0"/>
    <xf numFmtId="0" fontId="45" fillId="0" borderId="0" applyNumberFormat="0" applyBorder="0" applyProtection="0"/>
    <xf numFmtId="0" fontId="34" fillId="0" borderId="0" applyNumberFormat="0" applyBorder="0" applyProtection="0"/>
    <xf numFmtId="0" fontId="57" fillId="0" borderId="0"/>
    <xf numFmtId="0" fontId="2" fillId="0" borderId="0"/>
    <xf numFmtId="44" fontId="2"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78" fillId="0" borderId="0"/>
    <xf numFmtId="9" fontId="78" fillId="0" borderId="0" applyFont="0" applyFill="0" applyBorder="0" applyAlignment="0" applyProtection="0"/>
  </cellStyleXfs>
  <cellXfs count="613">
    <xf numFmtId="0" fontId="0" fillId="0" borderId="0" xfId="0"/>
    <xf numFmtId="0" fontId="8" fillId="0" borderId="0" xfId="0" applyFont="1" applyAlignment="1">
      <alignment vertical="center"/>
    </xf>
    <xf numFmtId="0" fontId="9" fillId="2" borderId="0" xfId="0" applyFont="1" applyFill="1" applyAlignment="1">
      <alignment horizontal="center" vertical="center"/>
    </xf>
    <xf numFmtId="0" fontId="9" fillId="2" borderId="0" xfId="0" applyFont="1" applyFill="1" applyAlignment="1">
      <alignment horizontal="left" vertical="center"/>
    </xf>
    <xf numFmtId="0" fontId="10" fillId="6" borderId="9" xfId="0" applyFont="1" applyFill="1" applyBorder="1" applyAlignment="1">
      <alignment horizontal="center" vertical="center"/>
    </xf>
    <xf numFmtId="0" fontId="10" fillId="6" borderId="9" xfId="0" applyFont="1" applyFill="1" applyBorder="1" applyAlignment="1">
      <alignment horizontal="center" vertical="center" wrapText="1"/>
    </xf>
    <xf numFmtId="0" fontId="8" fillId="0" borderId="4" xfId="0" applyFont="1" applyBorder="1" applyAlignment="1">
      <alignment horizontal="center" vertical="center"/>
    </xf>
    <xf numFmtId="0" fontId="8" fillId="0" borderId="4" xfId="0" applyFont="1" applyBorder="1" applyAlignment="1">
      <alignment horizontal="left" vertical="center"/>
    </xf>
    <xf numFmtId="0" fontId="11" fillId="0" borderId="4" xfId="5" applyFont="1" applyBorder="1" applyAlignment="1">
      <alignment horizontal="center" vertical="center"/>
    </xf>
    <xf numFmtId="0" fontId="8" fillId="2" borderId="0" xfId="0" applyFont="1" applyFill="1" applyAlignment="1">
      <alignment horizontal="left" vertical="center"/>
    </xf>
    <xf numFmtId="172" fontId="8" fillId="0" borderId="4" xfId="1" applyNumberFormat="1" applyFont="1" applyBorder="1" applyAlignment="1" applyProtection="1">
      <alignment vertical="center"/>
    </xf>
    <xf numFmtId="172" fontId="10" fillId="6" borderId="4" xfId="0" applyNumberFormat="1" applyFont="1" applyFill="1" applyBorder="1" applyAlignment="1">
      <alignment horizontal="right" vertical="center"/>
    </xf>
    <xf numFmtId="0" fontId="8" fillId="0" borderId="0" xfId="0" applyFont="1"/>
    <xf numFmtId="0" fontId="15" fillId="2" borderId="0" xfId="0" applyFont="1" applyFill="1" applyAlignment="1">
      <alignment horizontal="center" vertical="center"/>
    </xf>
    <xf numFmtId="0" fontId="8" fillId="0" borderId="0" xfId="0" applyFont="1" applyAlignment="1">
      <alignment horizontal="center" vertical="center"/>
    </xf>
    <xf numFmtId="0" fontId="15" fillId="2" borderId="0" xfId="0" applyFont="1" applyFill="1" applyAlignment="1">
      <alignment horizontal="left" vertical="center"/>
    </xf>
    <xf numFmtId="0" fontId="16" fillId="2" borderId="0" xfId="0" applyFont="1" applyFill="1" applyAlignment="1">
      <alignment horizontal="center" vertical="center"/>
    </xf>
    <xf numFmtId="0" fontId="11" fillId="0" borderId="0" xfId="0" applyFont="1" applyAlignment="1">
      <alignment horizontal="center" vertical="center"/>
    </xf>
    <xf numFmtId="0" fontId="11" fillId="0" borderId="0" xfId="0" applyFont="1"/>
    <xf numFmtId="0" fontId="15" fillId="0" borderId="0" xfId="0" applyFont="1"/>
    <xf numFmtId="0" fontId="16" fillId="0" borderId="0" xfId="0" applyFont="1" applyAlignment="1">
      <alignment horizontal="justify" vertical="center"/>
    </xf>
    <xf numFmtId="0" fontId="17" fillId="0" borderId="0" xfId="0" applyFont="1" applyAlignment="1">
      <alignment horizontal="center" vertical="center"/>
    </xf>
    <xf numFmtId="0" fontId="7" fillId="0" borderId="10" xfId="0" applyFont="1" applyBorder="1" applyAlignment="1">
      <alignment horizontal="left" vertical="center"/>
    </xf>
    <xf numFmtId="0" fontId="7" fillId="0" borderId="10" xfId="0" applyFont="1" applyBorder="1" applyAlignment="1">
      <alignment horizontal="left" vertical="center" wrapText="1"/>
    </xf>
    <xf numFmtId="0" fontId="15" fillId="0" borderId="0" xfId="0" applyFont="1" applyAlignment="1">
      <alignment horizontal="right"/>
    </xf>
    <xf numFmtId="0" fontId="16" fillId="0" borderId="0" xfId="0" applyFont="1" applyAlignment="1">
      <alignment wrapText="1"/>
    </xf>
    <xf numFmtId="0" fontId="16" fillId="0" borderId="0" xfId="0" applyFont="1" applyAlignment="1">
      <alignment horizontal="center" vertical="center"/>
    </xf>
    <xf numFmtId="0" fontId="15" fillId="10" borderId="4" xfId="0" applyFont="1" applyFill="1" applyBorder="1" applyAlignment="1">
      <alignment horizontal="center" vertical="center" wrapText="1"/>
    </xf>
    <xf numFmtId="0" fontId="18" fillId="0" borderId="4" xfId="0" applyFont="1" applyBorder="1" applyAlignment="1">
      <alignment horizontal="justify" vertical="center" wrapText="1"/>
    </xf>
    <xf numFmtId="0" fontId="18" fillId="0" borderId="4" xfId="0" applyFont="1" applyBorder="1" applyAlignment="1">
      <alignment horizontal="center" vertical="center"/>
    </xf>
    <xf numFmtId="0" fontId="17" fillId="0" borderId="4" xfId="0" applyFont="1" applyBorder="1" applyAlignment="1">
      <alignment horizontal="center" vertical="center"/>
    </xf>
    <xf numFmtId="0" fontId="18" fillId="0" borderId="0" xfId="0" applyFont="1" applyAlignment="1">
      <alignment horizontal="left" vertical="center"/>
    </xf>
    <xf numFmtId="0" fontId="18" fillId="0" borderId="0" xfId="0" applyFont="1" applyAlignment="1">
      <alignment horizontal="center"/>
    </xf>
    <xf numFmtId="0" fontId="18" fillId="0" borderId="0" xfId="0" applyFont="1" applyAlignment="1">
      <alignment horizontal="center" vertical="center"/>
    </xf>
    <xf numFmtId="0" fontId="7" fillId="0" borderId="4" xfId="0" applyFont="1" applyBorder="1" applyAlignment="1">
      <alignment horizontal="left" vertical="center"/>
    </xf>
    <xf numFmtId="0" fontId="7" fillId="0" borderId="4" xfId="0" applyFont="1" applyBorder="1" applyAlignment="1">
      <alignment vertical="center"/>
    </xf>
    <xf numFmtId="0" fontId="15" fillId="2" borderId="0" xfId="0" applyFont="1" applyFill="1" applyAlignment="1">
      <alignment vertical="center" wrapText="1"/>
    </xf>
    <xf numFmtId="0" fontId="19" fillId="2" borderId="0" xfId="0" applyFont="1" applyFill="1" applyAlignment="1">
      <alignment vertical="center"/>
    </xf>
    <xf numFmtId="166" fontId="15" fillId="2" borderId="0" xfId="0" applyNumberFormat="1" applyFont="1" applyFill="1" applyAlignment="1">
      <alignment vertical="center"/>
    </xf>
    <xf numFmtId="0" fontId="15" fillId="11" borderId="4" xfId="0" applyFont="1" applyFill="1" applyBorder="1" applyAlignment="1">
      <alignment horizontal="center" vertical="center" wrapText="1"/>
    </xf>
    <xf numFmtId="0" fontId="15" fillId="10" borderId="6" xfId="0" applyFont="1" applyFill="1" applyBorder="1" applyAlignment="1">
      <alignment vertical="center" wrapText="1"/>
    </xf>
    <xf numFmtId="166" fontId="15" fillId="10" borderId="15" xfId="1" applyFont="1" applyFill="1" applyBorder="1" applyAlignment="1" applyProtection="1">
      <alignment horizontal="center" vertical="center" wrapText="1"/>
    </xf>
    <xf numFmtId="166" fontId="15" fillId="10" borderId="8" xfId="1" applyFont="1" applyFill="1" applyBorder="1" applyAlignment="1" applyProtection="1">
      <alignment horizontal="center" vertical="center"/>
    </xf>
    <xf numFmtId="0" fontId="18" fillId="2" borderId="2" xfId="0" applyFont="1" applyFill="1" applyBorder="1" applyAlignment="1">
      <alignment vertical="center" wrapText="1"/>
    </xf>
    <xf numFmtId="167" fontId="20" fillId="0" borderId="5" xfId="3" applyNumberFormat="1" applyFont="1" applyBorder="1" applyAlignment="1" applyProtection="1">
      <alignment vertical="center"/>
    </xf>
    <xf numFmtId="166" fontId="15" fillId="2" borderId="14" xfId="1" applyFont="1" applyFill="1" applyBorder="1" applyProtection="1"/>
    <xf numFmtId="10" fontId="20" fillId="2" borderId="15" xfId="0" applyNumberFormat="1" applyFont="1" applyFill="1" applyBorder="1" applyAlignment="1">
      <alignment horizontal="right" vertical="center" wrapText="1"/>
    </xf>
    <xf numFmtId="166" fontId="15" fillId="0" borderId="3" xfId="1" applyFont="1" applyBorder="1" applyProtection="1"/>
    <xf numFmtId="167" fontId="18" fillId="0" borderId="15" xfId="3" applyNumberFormat="1" applyFont="1" applyBorder="1" applyAlignment="1" applyProtection="1">
      <alignment vertical="center"/>
    </xf>
    <xf numFmtId="0" fontId="17" fillId="2" borderId="2" xfId="0" applyFont="1" applyFill="1" applyBorder="1" applyAlignment="1">
      <alignment vertical="center" wrapText="1"/>
    </xf>
    <xf numFmtId="10" fontId="18" fillId="0" borderId="15" xfId="3" applyNumberFormat="1" applyFont="1" applyBorder="1" applyAlignment="1" applyProtection="1">
      <alignment vertical="center"/>
    </xf>
    <xf numFmtId="10" fontId="18" fillId="0" borderId="9" xfId="3" applyNumberFormat="1" applyFont="1" applyBorder="1" applyAlignment="1" applyProtection="1">
      <alignment vertical="center"/>
    </xf>
    <xf numFmtId="0" fontId="15" fillId="6" borderId="4" xfId="0" applyFont="1" applyFill="1" applyBorder="1" applyAlignment="1">
      <alignment horizontal="right" vertical="center" wrapText="1"/>
    </xf>
    <xf numFmtId="10" fontId="15" fillId="6" borderId="7" xfId="0" applyNumberFormat="1" applyFont="1" applyFill="1" applyBorder="1" applyAlignment="1">
      <alignment horizontal="right" vertical="center" wrapText="1"/>
    </xf>
    <xf numFmtId="164" fontId="15" fillId="6" borderId="11" xfId="0" applyNumberFormat="1" applyFont="1" applyFill="1" applyBorder="1" applyAlignment="1">
      <alignment vertical="center"/>
    </xf>
    <xf numFmtId="0" fontId="15" fillId="12" borderId="4" xfId="0" applyFont="1" applyFill="1" applyBorder="1" applyAlignment="1">
      <alignment horizontal="left" vertical="center" wrapText="1"/>
    </xf>
    <xf numFmtId="166" fontId="15" fillId="12" borderId="4" xfId="1" applyFont="1" applyFill="1" applyBorder="1" applyAlignment="1" applyProtection="1">
      <alignment horizontal="center" vertical="center"/>
    </xf>
    <xf numFmtId="166" fontId="15" fillId="2" borderId="15" xfId="1" applyFont="1" applyFill="1" applyBorder="1" applyAlignment="1" applyProtection="1">
      <alignment vertical="center"/>
    </xf>
    <xf numFmtId="0" fontId="15" fillId="2" borderId="10" xfId="0" applyFont="1" applyFill="1" applyBorder="1" applyAlignment="1">
      <alignment horizontal="right" vertical="center" wrapText="1"/>
    </xf>
    <xf numFmtId="10" fontId="21" fillId="2" borderId="5" xfId="0" applyNumberFormat="1" applyFont="1" applyFill="1" applyBorder="1" applyAlignment="1">
      <alignment vertical="center"/>
    </xf>
    <xf numFmtId="166" fontId="15" fillId="2" borderId="5" xfId="0" applyNumberFormat="1" applyFont="1" applyFill="1" applyBorder="1" applyAlignment="1">
      <alignment vertical="center"/>
    </xf>
    <xf numFmtId="0" fontId="15" fillId="12" borderId="10" xfId="0" applyFont="1" applyFill="1" applyBorder="1" applyAlignment="1">
      <alignment horizontal="left" vertical="center" wrapText="1"/>
    </xf>
    <xf numFmtId="10" fontId="20" fillId="2" borderId="5" xfId="0" applyNumberFormat="1" applyFont="1" applyFill="1" applyBorder="1" applyAlignment="1">
      <alignment horizontal="right" vertical="center" wrapText="1"/>
    </xf>
    <xf numFmtId="166" fontId="15" fillId="2" borderId="3" xfId="1" applyFont="1" applyFill="1" applyBorder="1" applyAlignment="1" applyProtection="1">
      <alignment vertical="center"/>
    </xf>
    <xf numFmtId="10" fontId="20" fillId="2" borderId="9" xfId="0" applyNumberFormat="1" applyFont="1" applyFill="1" applyBorder="1" applyAlignment="1">
      <alignment horizontal="right" vertical="center" wrapText="1"/>
    </xf>
    <xf numFmtId="166" fontId="15" fillId="2" borderId="14" xfId="0" applyNumberFormat="1" applyFont="1" applyFill="1" applyBorder="1" applyAlignment="1">
      <alignment vertical="center"/>
    </xf>
    <xf numFmtId="0" fontId="15" fillId="12" borderId="6" xfId="0" applyFont="1" applyFill="1" applyBorder="1" applyAlignment="1">
      <alignment vertical="center" wrapText="1"/>
    </xf>
    <xf numFmtId="9" fontId="16" fillId="12" borderId="4" xfId="3" applyFont="1" applyFill="1" applyBorder="1" applyAlignment="1" applyProtection="1">
      <alignment horizontal="center" wrapText="1"/>
    </xf>
    <xf numFmtId="170" fontId="16" fillId="2" borderId="15" xfId="1" applyNumberFormat="1" applyFont="1" applyFill="1" applyBorder="1" applyAlignment="1" applyProtection="1">
      <alignment horizontal="right" vertical="center"/>
    </xf>
    <xf numFmtId="167" fontId="20" fillId="0" borderId="15" xfId="3" applyNumberFormat="1" applyFont="1" applyBorder="1" applyAlignment="1" applyProtection="1">
      <alignment vertical="center"/>
    </xf>
    <xf numFmtId="0" fontId="18" fillId="2" borderId="2" xfId="0" applyFont="1" applyFill="1" applyBorder="1" applyAlignment="1">
      <alignment wrapText="1"/>
    </xf>
    <xf numFmtId="166" fontId="15" fillId="0" borderId="15" xfId="1" applyFont="1" applyBorder="1" applyAlignment="1" applyProtection="1">
      <alignment vertical="center"/>
    </xf>
    <xf numFmtId="166" fontId="15" fillId="0" borderId="15" xfId="1" applyFont="1" applyBorder="1" applyAlignment="1" applyProtection="1">
      <alignment horizontal="right" vertical="center"/>
    </xf>
    <xf numFmtId="173" fontId="20" fillId="2" borderId="15" xfId="0" applyNumberFormat="1" applyFont="1" applyFill="1" applyBorder="1" applyAlignment="1">
      <alignment horizontal="right" vertical="center" wrapText="1"/>
    </xf>
    <xf numFmtId="166" fontId="15" fillId="0" borderId="9" xfId="1" applyFont="1" applyBorder="1" applyAlignment="1" applyProtection="1">
      <alignment vertical="center"/>
    </xf>
    <xf numFmtId="166" fontId="15" fillId="2" borderId="4" xfId="0" applyNumberFormat="1" applyFont="1" applyFill="1" applyBorder="1" applyAlignment="1">
      <alignment vertical="center"/>
    </xf>
    <xf numFmtId="166" fontId="15" fillId="2" borderId="8" xfId="0" applyNumberFormat="1" applyFont="1" applyFill="1" applyBorder="1" applyAlignment="1">
      <alignment vertical="center"/>
    </xf>
    <xf numFmtId="0" fontId="15" fillId="10" borderId="4" xfId="0" applyFont="1" applyFill="1" applyBorder="1" applyAlignment="1">
      <alignment horizontal="left" vertical="center" wrapText="1"/>
    </xf>
    <xf numFmtId="0" fontId="15" fillId="10" borderId="8" xfId="0" applyFont="1" applyFill="1" applyBorder="1" applyAlignment="1">
      <alignment horizontal="center" vertical="center" wrapText="1"/>
    </xf>
    <xf numFmtId="0" fontId="18" fillId="2" borderId="5" xfId="0" applyFont="1" applyFill="1" applyBorder="1" applyAlignment="1">
      <alignment horizontal="left" vertical="center" wrapText="1"/>
    </xf>
    <xf numFmtId="10" fontId="20" fillId="2" borderId="14" xfId="0" applyNumberFormat="1" applyFont="1" applyFill="1" applyBorder="1" applyAlignment="1">
      <alignment horizontal="right" vertical="center" wrapText="1"/>
    </xf>
    <xf numFmtId="166" fontId="15" fillId="2" borderId="5" xfId="1" applyFont="1" applyFill="1" applyBorder="1" applyAlignment="1" applyProtection="1">
      <alignment vertical="center"/>
    </xf>
    <xf numFmtId="0" fontId="18" fillId="2" borderId="15" xfId="0" applyFont="1" applyFill="1" applyBorder="1" applyAlignment="1">
      <alignment horizontal="left" vertical="center" wrapText="1"/>
    </xf>
    <xf numFmtId="10" fontId="20" fillId="2" borderId="3" xfId="0" applyNumberFormat="1" applyFont="1" applyFill="1" applyBorder="1" applyAlignment="1">
      <alignment horizontal="right" vertical="center" wrapText="1"/>
    </xf>
    <xf numFmtId="166" fontId="15" fillId="2" borderId="9" xfId="1" applyFont="1" applyFill="1" applyBorder="1" applyAlignment="1" applyProtection="1">
      <alignment vertical="center"/>
    </xf>
    <xf numFmtId="10" fontId="15" fillId="6" borderId="1" xfId="0" applyNumberFormat="1" applyFont="1" applyFill="1" applyBorder="1" applyAlignment="1">
      <alignment horizontal="right" vertical="center" wrapText="1"/>
    </xf>
    <xf numFmtId="166" fontId="15" fillId="6" borderId="4" xfId="0" applyNumberFormat="1" applyFont="1" applyFill="1" applyBorder="1" applyAlignment="1">
      <alignment vertical="center"/>
    </xf>
    <xf numFmtId="0" fontId="15" fillId="2" borderId="0" xfId="0" applyFont="1" applyFill="1" applyAlignment="1">
      <alignment horizontal="right" vertical="center" wrapText="1"/>
    </xf>
    <xf numFmtId="0" fontId="15" fillId="10" borderId="9" xfId="0" applyFont="1" applyFill="1" applyBorder="1" applyAlignment="1">
      <alignment vertical="center" wrapText="1"/>
    </xf>
    <xf numFmtId="10" fontId="16" fillId="10" borderId="9" xfId="3" applyNumberFormat="1" applyFont="1" applyFill="1" applyBorder="1" applyAlignment="1" applyProtection="1">
      <alignment horizontal="center" vertical="center"/>
    </xf>
    <xf numFmtId="166" fontId="15" fillId="10" borderId="9" xfId="1" applyFont="1" applyFill="1" applyBorder="1" applyAlignment="1" applyProtection="1">
      <alignment horizontal="center" vertical="center"/>
    </xf>
    <xf numFmtId="10" fontId="20" fillId="2" borderId="2" xfId="3" applyNumberFormat="1" applyFont="1" applyFill="1" applyBorder="1" applyAlignment="1" applyProtection="1">
      <alignment vertical="center"/>
    </xf>
    <xf numFmtId="0" fontId="18" fillId="0" borderId="2" xfId="0" applyFont="1" applyBorder="1" applyAlignment="1">
      <alignment vertical="center" wrapText="1"/>
    </xf>
    <xf numFmtId="0" fontId="20" fillId="0" borderId="0" xfId="0" applyFont="1"/>
    <xf numFmtId="10" fontId="18" fillId="2" borderId="2" xfId="3" applyNumberFormat="1" applyFont="1" applyFill="1" applyBorder="1" applyAlignment="1" applyProtection="1">
      <alignment vertical="center"/>
    </xf>
    <xf numFmtId="10" fontId="21" fillId="6" borderId="4" xfId="0" applyNumberFormat="1" applyFont="1" applyFill="1" applyBorder="1" applyAlignment="1">
      <alignment horizontal="right" vertical="center" wrapText="1"/>
    </xf>
    <xf numFmtId="0" fontId="10" fillId="2" borderId="0" xfId="0" applyFont="1" applyFill="1" applyAlignment="1">
      <alignment horizontal="right" vertical="center" wrapText="1"/>
    </xf>
    <xf numFmtId="166" fontId="10" fillId="2" borderId="0" xfId="0" applyNumberFormat="1" applyFont="1" applyFill="1" applyAlignment="1">
      <alignment vertical="center"/>
    </xf>
    <xf numFmtId="0" fontId="15" fillId="12" borderId="9" xfId="0" applyFont="1" applyFill="1" applyBorder="1" applyAlignment="1">
      <alignment vertical="center" wrapText="1"/>
    </xf>
    <xf numFmtId="9" fontId="16" fillId="12" borderId="9" xfId="3" applyFont="1" applyFill="1" applyBorder="1" applyAlignment="1" applyProtection="1">
      <alignment horizontal="center" vertical="center"/>
    </xf>
    <xf numFmtId="166" fontId="15" fillId="12" borderId="9" xfId="1" applyFont="1" applyFill="1" applyBorder="1" applyAlignment="1" applyProtection="1">
      <alignment horizontal="center" vertical="center"/>
    </xf>
    <xf numFmtId="10" fontId="18" fillId="21" borderId="15" xfId="3" applyNumberFormat="1" applyFont="1" applyFill="1" applyBorder="1" applyAlignment="1" applyProtection="1">
      <alignment vertical="center"/>
    </xf>
    <xf numFmtId="10" fontId="20" fillId="2" borderId="15" xfId="3" applyNumberFormat="1" applyFont="1" applyFill="1" applyBorder="1" applyAlignment="1" applyProtection="1">
      <alignment vertical="center"/>
    </xf>
    <xf numFmtId="10" fontId="18" fillId="2" borderId="15" xfId="3" applyNumberFormat="1" applyFont="1" applyFill="1" applyBorder="1" applyAlignment="1" applyProtection="1">
      <alignment vertical="center"/>
    </xf>
    <xf numFmtId="10" fontId="21" fillId="6" borderId="4" xfId="0" applyNumberFormat="1" applyFont="1" applyFill="1" applyBorder="1" applyAlignment="1">
      <alignment vertical="center"/>
    </xf>
    <xf numFmtId="0" fontId="15" fillId="12" borderId="4" xfId="0" applyFont="1" applyFill="1" applyBorder="1" applyAlignment="1">
      <alignment vertical="center" wrapText="1"/>
    </xf>
    <xf numFmtId="9" fontId="16" fillId="12" borderId="4" xfId="3" applyFont="1" applyFill="1" applyBorder="1" applyAlignment="1" applyProtection="1">
      <alignment horizontal="center" vertical="center"/>
    </xf>
    <xf numFmtId="0" fontId="18" fillId="2" borderId="4" xfId="0" applyFont="1" applyFill="1" applyBorder="1" applyAlignment="1">
      <alignment vertical="center" wrapText="1"/>
    </xf>
    <xf numFmtId="10" fontId="20" fillId="2" borderId="4" xfId="3" applyNumberFormat="1" applyFont="1" applyFill="1" applyBorder="1" applyAlignment="1" applyProtection="1">
      <alignment vertical="center"/>
    </xf>
    <xf numFmtId="166" fontId="15" fillId="2" borderId="4" xfId="1" applyFont="1" applyFill="1" applyBorder="1" applyAlignment="1" applyProtection="1">
      <alignment vertical="center"/>
    </xf>
    <xf numFmtId="0" fontId="15" fillId="2" borderId="2" xfId="0" applyFont="1" applyFill="1" applyBorder="1" applyAlignment="1">
      <alignment horizontal="right" vertical="center" wrapText="1"/>
    </xf>
    <xf numFmtId="10" fontId="21" fillId="2" borderId="3" xfId="0" applyNumberFormat="1" applyFont="1" applyFill="1" applyBorder="1" applyAlignment="1">
      <alignment vertical="center"/>
    </xf>
    <xf numFmtId="0" fontId="15" fillId="10" borderId="4" xfId="0" applyFont="1" applyFill="1" applyBorder="1" applyAlignment="1">
      <alignment vertical="center" wrapText="1"/>
    </xf>
    <xf numFmtId="10" fontId="16" fillId="10" borderId="4" xfId="3" applyNumberFormat="1" applyFont="1" applyFill="1" applyBorder="1" applyAlignment="1" applyProtection="1">
      <alignment horizontal="center" vertical="center"/>
    </xf>
    <xf numFmtId="166" fontId="15" fillId="10" borderId="4" xfId="1" applyFont="1" applyFill="1" applyBorder="1" applyAlignment="1" applyProtection="1">
      <alignment horizontal="center" vertical="center"/>
    </xf>
    <xf numFmtId="0" fontId="18" fillId="0" borderId="4" xfId="0" applyFont="1" applyBorder="1" applyAlignment="1">
      <alignment vertical="center" wrapText="1"/>
    </xf>
    <xf numFmtId="10" fontId="15" fillId="6" borderId="4" xfId="0" applyNumberFormat="1" applyFont="1" applyFill="1" applyBorder="1" applyAlignment="1">
      <alignment horizontal="right" vertical="center" wrapText="1"/>
    </xf>
    <xf numFmtId="10" fontId="22" fillId="2" borderId="0" xfId="0" applyNumberFormat="1" applyFont="1" applyFill="1" applyAlignment="1">
      <alignment vertical="center"/>
    </xf>
    <xf numFmtId="169" fontId="20" fillId="0" borderId="2" xfId="3" applyNumberFormat="1" applyFont="1" applyBorder="1" applyAlignment="1" applyProtection="1">
      <alignment vertical="center"/>
    </xf>
    <xf numFmtId="166" fontId="15" fillId="2" borderId="15" xfId="1" applyFont="1" applyFill="1" applyBorder="1" applyProtection="1"/>
    <xf numFmtId="0" fontId="15" fillId="6" borderId="10" xfId="0" applyFont="1" applyFill="1" applyBorder="1" applyAlignment="1">
      <alignment horizontal="right" vertical="center" wrapText="1"/>
    </xf>
    <xf numFmtId="10" fontId="21" fillId="2" borderId="0" xfId="0" applyNumberFormat="1" applyFont="1" applyFill="1" applyAlignment="1">
      <alignment vertical="center"/>
    </xf>
    <xf numFmtId="171" fontId="8" fillId="0" borderId="0" xfId="0" applyNumberFormat="1" applyFont="1"/>
    <xf numFmtId="0" fontId="23" fillId="2" borderId="2" xfId="0" applyFont="1" applyFill="1" applyBorder="1" applyAlignment="1">
      <alignment vertical="center" wrapText="1"/>
    </xf>
    <xf numFmtId="2" fontId="24" fillId="2" borderId="15" xfId="3" applyNumberFormat="1" applyFont="1" applyFill="1" applyBorder="1" applyAlignment="1" applyProtection="1">
      <alignment vertical="center"/>
    </xf>
    <xf numFmtId="166" fontId="24" fillId="2" borderId="15" xfId="1" applyFont="1" applyFill="1" applyBorder="1" applyAlignment="1" applyProtection="1">
      <alignment vertical="center"/>
    </xf>
    <xf numFmtId="169" fontId="20" fillId="2" borderId="2" xfId="3" applyNumberFormat="1" applyFont="1" applyFill="1" applyBorder="1" applyAlignment="1" applyProtection="1">
      <alignment vertical="center"/>
    </xf>
    <xf numFmtId="166" fontId="18" fillId="2" borderId="15" xfId="1" applyFont="1" applyFill="1" applyBorder="1" applyAlignment="1" applyProtection="1">
      <alignment vertical="center"/>
    </xf>
    <xf numFmtId="0" fontId="19" fillId="6" borderId="10" xfId="0" applyFont="1" applyFill="1" applyBorder="1" applyAlignment="1">
      <alignment vertical="center"/>
    </xf>
    <xf numFmtId="166" fontId="15" fillId="14" borderId="9" xfId="1" applyFont="1" applyFill="1" applyBorder="1" applyAlignment="1" applyProtection="1">
      <alignment horizontal="center" vertical="center"/>
    </xf>
    <xf numFmtId="166" fontId="25" fillId="2" borderId="4" xfId="0" applyNumberFormat="1" applyFont="1" applyFill="1" applyBorder="1" applyAlignment="1">
      <alignment vertical="center"/>
    </xf>
    <xf numFmtId="0" fontId="26" fillId="15" borderId="4" xfId="0" applyFont="1" applyFill="1" applyBorder="1" applyAlignment="1">
      <alignment horizontal="left" vertical="center" wrapText="1"/>
    </xf>
    <xf numFmtId="0" fontId="27" fillId="15" borderId="4" xfId="0" applyFont="1" applyFill="1" applyBorder="1" applyAlignment="1">
      <alignment vertical="center"/>
    </xf>
    <xf numFmtId="166" fontId="26" fillId="15" borderId="4" xfId="0" applyNumberFormat="1" applyFont="1" applyFill="1" applyBorder="1" applyAlignment="1">
      <alignment vertical="center"/>
    </xf>
    <xf numFmtId="0" fontId="29" fillId="7" borderId="17" xfId="0" applyFont="1" applyFill="1" applyBorder="1" applyAlignment="1">
      <alignment horizontal="center" vertical="center" wrapText="1"/>
    </xf>
    <xf numFmtId="0" fontId="29" fillId="7" borderId="18" xfId="0" applyFont="1" applyFill="1" applyBorder="1" applyAlignment="1">
      <alignment horizontal="center" vertical="center" wrapText="1"/>
    </xf>
    <xf numFmtId="0" fontId="8" fillId="16" borderId="19" xfId="0" applyFont="1" applyFill="1" applyBorder="1" applyAlignment="1">
      <alignment vertical="top" wrapText="1"/>
    </xf>
    <xf numFmtId="0" fontId="13" fillId="16" borderId="20" xfId="0" applyFont="1" applyFill="1" applyBorder="1" applyAlignment="1">
      <alignment horizontal="center" vertical="center"/>
    </xf>
    <xf numFmtId="172" fontId="13" fillId="16" borderId="20" xfId="0" applyNumberFormat="1" applyFont="1" applyFill="1" applyBorder="1" applyAlignment="1">
      <alignment horizontal="center" vertical="center"/>
    </xf>
    <xf numFmtId="172" fontId="13" fillId="16" borderId="17" xfId="0" applyNumberFormat="1" applyFont="1" applyFill="1" applyBorder="1" applyAlignment="1">
      <alignment vertical="center"/>
    </xf>
    <xf numFmtId="0" fontId="8" fillId="2" borderId="0" xfId="0" applyFont="1" applyFill="1" applyAlignment="1">
      <alignment vertical="center"/>
    </xf>
    <xf numFmtId="0" fontId="15" fillId="0" borderId="0" xfId="0" applyFont="1" applyAlignment="1">
      <alignment horizontal="center" vertical="center"/>
    </xf>
    <xf numFmtId="0" fontId="8" fillId="18" borderId="0" xfId="0" applyFont="1" applyFill="1" applyAlignment="1">
      <alignment vertical="center"/>
    </xf>
    <xf numFmtId="0" fontId="12" fillId="4" borderId="4" xfId="0" applyFont="1" applyFill="1" applyBorder="1" applyAlignment="1">
      <alignment horizontal="center" vertical="center"/>
    </xf>
    <xf numFmtId="0" fontId="12" fillId="4" borderId="4" xfId="0" applyFont="1" applyFill="1" applyBorder="1" applyAlignment="1">
      <alignment horizontal="center" vertical="center" wrapText="1"/>
    </xf>
    <xf numFmtId="164" fontId="8" fillId="0" borderId="0" xfId="0" applyNumberFormat="1" applyFont="1" applyAlignment="1">
      <alignment vertical="center"/>
    </xf>
    <xf numFmtId="0" fontId="30" fillId="0" borderId="0" xfId="0" applyFont="1" applyAlignment="1">
      <alignment vertical="center"/>
    </xf>
    <xf numFmtId="0" fontId="13" fillId="2" borderId="10" xfId="0" applyFont="1" applyFill="1" applyBorder="1" applyAlignment="1">
      <alignment vertical="center"/>
    </xf>
    <xf numFmtId="0" fontId="13" fillId="2" borderId="1" xfId="0" applyFont="1" applyFill="1" applyBorder="1" applyAlignment="1">
      <alignment vertical="center"/>
    </xf>
    <xf numFmtId="0" fontId="13" fillId="2" borderId="11" xfId="0" applyFont="1" applyFill="1" applyBorder="1" applyAlignment="1">
      <alignment vertical="center"/>
    </xf>
    <xf numFmtId="0" fontId="11" fillId="2" borderId="4" xfId="0" applyFont="1" applyFill="1" applyBorder="1" applyAlignment="1">
      <alignment vertical="center" wrapText="1"/>
    </xf>
    <xf numFmtId="0" fontId="11" fillId="2" borderId="4" xfId="0" applyFont="1" applyFill="1" applyBorder="1" applyAlignment="1">
      <alignment horizontal="center" vertical="center"/>
    </xf>
    <xf numFmtId="172" fontId="11" fillId="0" borderId="4" xfId="2" applyNumberFormat="1" applyFont="1" applyBorder="1" applyAlignment="1" applyProtection="1">
      <alignment vertical="center"/>
    </xf>
    <xf numFmtId="172" fontId="13" fillId="4" borderId="4" xfId="0" applyNumberFormat="1" applyFont="1" applyFill="1" applyBorder="1" applyAlignment="1">
      <alignment horizontal="center" vertical="center"/>
    </xf>
    <xf numFmtId="172" fontId="13" fillId="4" borderId="4" xfId="2" applyNumberFormat="1" applyFont="1" applyFill="1" applyBorder="1" applyAlignment="1" applyProtection="1">
      <alignment vertical="center"/>
    </xf>
    <xf numFmtId="172" fontId="8" fillId="0" borderId="0" xfId="0" applyNumberFormat="1" applyFont="1" applyAlignment="1">
      <alignment vertical="center"/>
    </xf>
    <xf numFmtId="166" fontId="5" fillId="0" borderId="0" xfId="1"/>
    <xf numFmtId="10" fontId="33" fillId="21" borderId="2" xfId="3" applyNumberFormat="1" applyFont="1" applyFill="1" applyBorder="1" applyAlignment="1" applyProtection="1">
      <alignment vertical="center"/>
    </xf>
    <xf numFmtId="10" fontId="17" fillId="21" borderId="2" xfId="3" applyNumberFormat="1" applyFont="1" applyFill="1" applyBorder="1" applyAlignment="1" applyProtection="1">
      <alignment vertical="center"/>
    </xf>
    <xf numFmtId="172" fontId="8" fillId="0" borderId="0" xfId="0" applyNumberFormat="1" applyFont="1"/>
    <xf numFmtId="172" fontId="22" fillId="2" borderId="0" xfId="0" applyNumberFormat="1" applyFont="1" applyFill="1" applyAlignment="1">
      <alignment vertical="center"/>
    </xf>
    <xf numFmtId="0" fontId="35" fillId="0" borderId="0" xfId="6" applyFont="1"/>
    <xf numFmtId="0" fontId="36" fillId="22" borderId="0" xfId="6" applyFont="1" applyFill="1" applyAlignment="1">
      <alignment horizontal="justify" wrapText="1"/>
    </xf>
    <xf numFmtId="0" fontId="39" fillId="0" borderId="0" xfId="6" applyFont="1"/>
    <xf numFmtId="0" fontId="42" fillId="0" borderId="0" xfId="6" applyFont="1"/>
    <xf numFmtId="0" fontId="45" fillId="0" borderId="0" xfId="9"/>
    <xf numFmtId="0" fontId="46" fillId="0" borderId="0" xfId="6" applyFont="1"/>
    <xf numFmtId="0" fontId="48" fillId="0" borderId="0" xfId="6" applyFont="1"/>
    <xf numFmtId="164" fontId="8" fillId="0" borderId="0" xfId="0" applyNumberFormat="1" applyFont="1"/>
    <xf numFmtId="166" fontId="15" fillId="20" borderId="3" xfId="1" applyFont="1" applyFill="1" applyBorder="1" applyProtection="1"/>
    <xf numFmtId="10" fontId="20" fillId="21" borderId="2" xfId="3" applyNumberFormat="1" applyFont="1" applyFill="1" applyBorder="1" applyAlignment="1" applyProtection="1">
      <alignment vertical="center"/>
    </xf>
    <xf numFmtId="166" fontId="15" fillId="21" borderId="4" xfId="1" applyFont="1" applyFill="1" applyBorder="1" applyAlignment="1" applyProtection="1">
      <alignment vertical="center"/>
    </xf>
    <xf numFmtId="10" fontId="8" fillId="0" borderId="0" xfId="0" applyNumberFormat="1" applyFont="1"/>
    <xf numFmtId="0" fontId="13" fillId="4" borderId="10" xfId="0" applyFont="1" applyFill="1" applyBorder="1" applyAlignment="1">
      <alignment horizontal="center" vertical="center"/>
    </xf>
    <xf numFmtId="0" fontId="15" fillId="2" borderId="0" xfId="0" applyFont="1" applyFill="1" applyAlignment="1">
      <alignment horizontal="center" vertical="center" wrapText="1"/>
    </xf>
    <xf numFmtId="4" fontId="8" fillId="0" borderId="0" xfId="0" applyNumberFormat="1" applyFont="1" applyAlignment="1">
      <alignment vertical="center"/>
    </xf>
    <xf numFmtId="0" fontId="12" fillId="0" borderId="0" xfId="0" applyFont="1" applyAlignment="1">
      <alignment vertical="center"/>
    </xf>
    <xf numFmtId="4" fontId="12" fillId="0" borderId="0" xfId="0" applyNumberFormat="1" applyFont="1" applyAlignment="1">
      <alignment vertical="center"/>
    </xf>
    <xf numFmtId="172" fontId="12" fillId="0" borderId="0" xfId="0" applyNumberFormat="1" applyFont="1" applyAlignment="1">
      <alignment vertical="center"/>
    </xf>
    <xf numFmtId="0" fontId="53" fillId="0" borderId="0" xfId="6" applyFont="1"/>
    <xf numFmtId="0" fontId="43" fillId="22" borderId="0" xfId="7" applyFill="1"/>
    <xf numFmtId="0" fontId="35" fillId="0" borderId="28" xfId="6" applyFont="1" applyBorder="1"/>
    <xf numFmtId="0" fontId="35" fillId="0" borderId="29" xfId="6" applyFont="1" applyBorder="1"/>
    <xf numFmtId="0" fontId="36" fillId="22" borderId="29" xfId="6" applyFont="1" applyFill="1" applyBorder="1" applyAlignment="1">
      <alignment horizontal="justify" wrapText="1"/>
    </xf>
    <xf numFmtId="0" fontId="36" fillId="22" borderId="30" xfId="6" applyFont="1" applyFill="1" applyBorder="1" applyAlignment="1">
      <alignment horizontal="justify" wrapText="1"/>
    </xf>
    <xf numFmtId="0" fontId="37" fillId="22" borderId="31" xfId="6" applyFont="1" applyFill="1" applyBorder="1" applyAlignment="1">
      <alignment horizontal="justify" vertical="center" wrapText="1"/>
    </xf>
    <xf numFmtId="0" fontId="37" fillId="22" borderId="0" xfId="6" applyFont="1" applyFill="1" applyBorder="1" applyAlignment="1">
      <alignment horizontal="justify" vertical="center" wrapText="1"/>
    </xf>
    <xf numFmtId="0" fontId="36" fillId="22" borderId="0" xfId="6" applyFont="1" applyFill="1" applyBorder="1" applyAlignment="1">
      <alignment horizontal="justify" wrapText="1"/>
    </xf>
    <xf numFmtId="0" fontId="36" fillId="22" borderId="32" xfId="6" applyFont="1" applyFill="1" applyBorder="1" applyAlignment="1">
      <alignment horizontal="justify" wrapText="1"/>
    </xf>
    <xf numFmtId="0" fontId="36" fillId="22" borderId="31" xfId="6" applyFont="1" applyFill="1" applyBorder="1" applyAlignment="1">
      <alignment horizontal="justify" wrapText="1"/>
    </xf>
    <xf numFmtId="0" fontId="35" fillId="0" borderId="0" xfId="6" applyFont="1" applyBorder="1"/>
    <xf numFmtId="0" fontId="36" fillId="22" borderId="0" xfId="6" applyFont="1" applyFill="1" applyBorder="1" applyAlignment="1">
      <alignment horizontal="left" vertical="center" wrapText="1"/>
    </xf>
    <xf numFmtId="0" fontId="37" fillId="22" borderId="0" xfId="6" applyFont="1" applyFill="1" applyBorder="1" applyAlignment="1">
      <alignment vertical="center" wrapText="1"/>
    </xf>
    <xf numFmtId="0" fontId="43" fillId="22" borderId="31" xfId="7" applyFill="1" applyBorder="1"/>
    <xf numFmtId="0" fontId="36" fillId="22" borderId="31" xfId="10" applyFont="1" applyFill="1" applyBorder="1" applyAlignment="1">
      <alignment horizontal="center" vertical="center" wrapText="1"/>
    </xf>
    <xf numFmtId="0" fontId="36" fillId="22" borderId="0" xfId="10" applyFont="1" applyFill="1" applyBorder="1" applyAlignment="1">
      <alignment horizontal="center" vertical="center" wrapText="1"/>
    </xf>
    <xf numFmtId="0" fontId="36" fillId="22" borderId="32" xfId="10" applyFont="1" applyFill="1" applyBorder="1" applyAlignment="1">
      <alignment horizontal="center" vertical="center" wrapText="1"/>
    </xf>
    <xf numFmtId="0" fontId="35" fillId="0" borderId="32" xfId="6" applyFont="1" applyBorder="1"/>
    <xf numFmtId="0" fontId="37" fillId="0" borderId="0" xfId="6" applyFont="1" applyBorder="1"/>
    <xf numFmtId="0" fontId="45" fillId="22" borderId="31" xfId="9" applyFill="1" applyBorder="1"/>
    <xf numFmtId="0" fontId="45" fillId="22" borderId="0" xfId="9" applyFill="1" applyBorder="1"/>
    <xf numFmtId="0" fontId="36" fillId="22" borderId="39" xfId="6" applyFont="1" applyFill="1" applyBorder="1" applyAlignment="1">
      <alignment horizontal="justify" wrapText="1"/>
    </xf>
    <xf numFmtId="0" fontId="36" fillId="22" borderId="16" xfId="6" applyFont="1" applyFill="1" applyBorder="1" applyAlignment="1">
      <alignment horizontal="justify" wrapText="1"/>
    </xf>
    <xf numFmtId="0" fontId="35" fillId="0" borderId="16" xfId="6" applyFont="1" applyBorder="1"/>
    <xf numFmtId="0" fontId="36" fillId="22" borderId="20" xfId="6" applyFont="1" applyFill="1" applyBorder="1" applyAlignment="1">
      <alignment horizontal="justify" wrapText="1"/>
    </xf>
    <xf numFmtId="0" fontId="13" fillId="4" borderId="17" xfId="0" applyFont="1" applyFill="1" applyBorder="1" applyAlignment="1">
      <alignment horizontal="center" vertical="center"/>
    </xf>
    <xf numFmtId="172" fontId="13" fillId="4" borderId="42" xfId="0" applyNumberFormat="1" applyFont="1" applyFill="1" applyBorder="1" applyAlignment="1">
      <alignment horizontal="center" vertical="center"/>
    </xf>
    <xf numFmtId="172" fontId="13" fillId="4" borderId="43" xfId="0" applyNumberFormat="1" applyFont="1" applyFill="1" applyBorder="1" applyAlignment="1">
      <alignment horizontal="center" vertical="center"/>
    </xf>
    <xf numFmtId="172" fontId="13" fillId="4" borderId="43" xfId="2" applyNumberFormat="1" applyFont="1" applyFill="1" applyBorder="1" applyAlignment="1" applyProtection="1">
      <alignment vertical="center"/>
    </xf>
    <xf numFmtId="172" fontId="13" fillId="4" borderId="41" xfId="2" applyNumberFormat="1" applyFont="1" applyFill="1" applyBorder="1" applyAlignment="1" applyProtection="1">
      <alignment vertical="center"/>
    </xf>
    <xf numFmtId="0" fontId="12" fillId="4" borderId="17" xfId="0" applyFont="1" applyFill="1" applyBorder="1" applyAlignment="1">
      <alignment horizontal="center" vertical="center" wrapText="1"/>
    </xf>
    <xf numFmtId="172" fontId="47" fillId="0" borderId="17" xfId="6" applyNumberFormat="1" applyFont="1" applyBorder="1" applyAlignment="1">
      <alignment horizontal="right" vertical="center" wrapText="1"/>
    </xf>
    <xf numFmtId="172" fontId="47" fillId="0" borderId="17" xfId="6" applyNumberFormat="1" applyFont="1" applyBorder="1" applyAlignment="1">
      <alignment horizontal="right" vertical="center"/>
    </xf>
    <xf numFmtId="0" fontId="36" fillId="22" borderId="16" xfId="6" applyFont="1" applyFill="1" applyBorder="1" applyAlignment="1">
      <alignment horizontal="left" vertical="center" wrapText="1"/>
    </xf>
    <xf numFmtId="0" fontId="37" fillId="0" borderId="16" xfId="6" applyFont="1" applyBorder="1"/>
    <xf numFmtId="0" fontId="36" fillId="22" borderId="0" xfId="6" applyFont="1" applyFill="1" applyBorder="1" applyAlignment="1">
      <alignment vertical="center" wrapText="1"/>
    </xf>
    <xf numFmtId="0" fontId="12" fillId="4" borderId="22" xfId="0" applyFont="1" applyFill="1" applyBorder="1" applyAlignment="1">
      <alignment vertical="center"/>
    </xf>
    <xf numFmtId="172" fontId="11" fillId="2" borderId="11" xfId="0" applyNumberFormat="1" applyFont="1" applyFill="1" applyBorder="1" applyAlignment="1">
      <alignment horizontal="right" vertical="center"/>
    </xf>
    <xf numFmtId="0" fontId="12" fillId="4" borderId="5" xfId="0" applyFont="1" applyFill="1" applyBorder="1" applyAlignment="1">
      <alignment horizontal="center" vertical="center" wrapText="1"/>
    </xf>
    <xf numFmtId="0" fontId="13" fillId="4" borderId="9" xfId="0" applyFont="1" applyFill="1" applyBorder="1" applyAlignment="1">
      <alignment horizontal="center" vertical="center"/>
    </xf>
    <xf numFmtId="0" fontId="12" fillId="4" borderId="10" xfId="0" applyFont="1" applyFill="1" applyBorder="1" applyAlignment="1">
      <alignment horizontal="center" vertical="center"/>
    </xf>
    <xf numFmtId="0" fontId="8" fillId="0" borderId="0" xfId="0" applyFont="1" applyAlignment="1">
      <alignment horizontal="center"/>
    </xf>
    <xf numFmtId="49" fontId="13" fillId="8" borderId="0" xfId="0" applyNumberFormat="1" applyFont="1" applyFill="1" applyAlignment="1">
      <alignment horizontal="center" vertical="center"/>
    </xf>
    <xf numFmtId="0" fontId="16" fillId="8" borderId="0" xfId="0" applyFont="1" applyFill="1" applyAlignment="1">
      <alignment horizontal="center" vertical="center"/>
    </xf>
    <xf numFmtId="168" fontId="16" fillId="0" borderId="0" xfId="0" applyNumberFormat="1" applyFont="1" applyAlignment="1">
      <alignment horizontal="center" vertical="center"/>
    </xf>
    <xf numFmtId="0" fontId="15" fillId="9" borderId="0" xfId="0" applyFont="1" applyFill="1" applyAlignment="1">
      <alignment horizontal="center" vertical="center" wrapText="1"/>
    </xf>
    <xf numFmtId="0" fontId="15" fillId="10" borderId="0" xfId="0" applyFont="1" applyFill="1" applyAlignment="1">
      <alignment horizontal="center" vertical="center" wrapText="1"/>
    </xf>
    <xf numFmtId="172" fontId="15" fillId="20" borderId="0" xfId="2" applyNumberFormat="1" applyFont="1" applyFill="1" applyBorder="1" applyAlignment="1" applyProtection="1">
      <alignment horizontal="center" vertical="center"/>
    </xf>
    <xf numFmtId="0" fontId="15" fillId="20" borderId="0" xfId="0" applyFont="1" applyFill="1" applyAlignment="1">
      <alignment horizontal="center" vertical="center"/>
    </xf>
    <xf numFmtId="0" fontId="15" fillId="13" borderId="0" xfId="0" applyFont="1" applyFill="1" applyAlignment="1">
      <alignment horizontal="center" vertical="center" wrapText="1"/>
    </xf>
    <xf numFmtId="0" fontId="8" fillId="0" borderId="4" xfId="0" applyFont="1" applyBorder="1" applyAlignment="1">
      <alignment horizontal="left" vertical="center" wrapText="1"/>
    </xf>
    <xf numFmtId="0" fontId="10" fillId="6" borderId="10" xfId="0" applyFont="1" applyFill="1" applyBorder="1" applyAlignment="1">
      <alignment horizontal="center" vertical="center"/>
    </xf>
    <xf numFmtId="0" fontId="10" fillId="6" borderId="1" xfId="0" applyFont="1" applyFill="1" applyBorder="1" applyAlignment="1">
      <alignment horizontal="center" vertical="center"/>
    </xf>
    <xf numFmtId="172" fontId="10" fillId="6" borderId="11" xfId="0" applyNumberFormat="1" applyFont="1" applyFill="1" applyBorder="1" applyAlignment="1">
      <alignment horizontal="right" vertical="center"/>
    </xf>
    <xf numFmtId="0" fontId="10" fillId="6" borderId="4" xfId="0" applyFont="1" applyFill="1" applyBorder="1" applyAlignment="1">
      <alignment horizontal="center" vertical="center" wrapText="1"/>
    </xf>
    <xf numFmtId="0" fontId="8" fillId="0" borderId="0" xfId="11" applyFont="1" applyAlignment="1">
      <alignment horizontal="left" vertical="center"/>
    </xf>
    <xf numFmtId="0" fontId="8" fillId="0" borderId="0" xfId="11" applyFont="1"/>
    <xf numFmtId="0" fontId="8" fillId="0" borderId="0" xfId="11" applyFont="1" applyAlignment="1">
      <alignment horizontal="left"/>
    </xf>
    <xf numFmtId="0" fontId="8" fillId="0" borderId="0" xfId="11" applyFont="1" applyAlignment="1">
      <alignment horizontal="center" vertical="center"/>
    </xf>
    <xf numFmtId="0" fontId="59" fillId="0" borderId="4" xfId="11" applyFont="1" applyBorder="1" applyAlignment="1">
      <alignment horizontal="center" vertical="center" wrapText="1"/>
    </xf>
    <xf numFmtId="10" fontId="8" fillId="0" borderId="4" xfId="11" applyNumberFormat="1" applyFont="1" applyBorder="1" applyAlignment="1">
      <alignment horizontal="center" vertical="center" shrinkToFit="1"/>
    </xf>
    <xf numFmtId="0" fontId="59" fillId="0" borderId="4" xfId="12" applyFont="1" applyBorder="1" applyAlignment="1">
      <alignment horizontal="center" vertical="center" wrapText="1"/>
    </xf>
    <xf numFmtId="10" fontId="8" fillId="0" borderId="4" xfId="12" applyNumberFormat="1" applyFont="1" applyBorder="1" applyAlignment="1">
      <alignment horizontal="center" vertical="center" shrinkToFit="1"/>
    </xf>
    <xf numFmtId="0" fontId="2" fillId="0" borderId="0" xfId="12" applyAlignment="1">
      <alignment horizontal="left" vertical="center"/>
    </xf>
    <xf numFmtId="0" fontId="58" fillId="0" borderId="4" xfId="12" applyFont="1" applyBorder="1" applyAlignment="1">
      <alignment horizontal="center" vertical="center" wrapText="1"/>
    </xf>
    <xf numFmtId="10" fontId="10" fillId="0" borderId="4" xfId="12" applyNumberFormat="1" applyFont="1" applyBorder="1" applyAlignment="1">
      <alignment horizontal="center" vertical="center" shrinkToFit="1"/>
    </xf>
    <xf numFmtId="0" fontId="13" fillId="0" borderId="4" xfId="12" applyFont="1" applyBorder="1" applyAlignment="1">
      <alignment horizontal="center" vertical="center" wrapText="1"/>
    </xf>
    <xf numFmtId="0" fontId="58" fillId="0" borderId="13" xfId="12" applyFont="1" applyBorder="1" applyAlignment="1">
      <alignment horizontal="center" vertical="center" wrapText="1"/>
    </xf>
    <xf numFmtId="10" fontId="10" fillId="0" borderId="13" xfId="12" applyNumberFormat="1" applyFont="1" applyBorder="1" applyAlignment="1">
      <alignment horizontal="center" vertical="center" shrinkToFit="1"/>
    </xf>
    <xf numFmtId="0" fontId="59" fillId="0" borderId="13" xfId="12" applyFont="1" applyBorder="1" applyAlignment="1">
      <alignment horizontal="center" vertical="center" wrapText="1"/>
    </xf>
    <xf numFmtId="0" fontId="8" fillId="0" borderId="0" xfId="11" applyFont="1" applyAlignment="1">
      <alignment horizontal="left" vertical="top"/>
    </xf>
    <xf numFmtId="1" fontId="61" fillId="0" borderId="4" xfId="12" applyNumberFormat="1" applyFont="1" applyBorder="1" applyAlignment="1">
      <alignment horizontal="center" vertical="center" shrinkToFit="1"/>
    </xf>
    <xf numFmtId="1" fontId="61" fillId="0" borderId="4" xfId="12" applyNumberFormat="1" applyFont="1" applyBorder="1" applyAlignment="1">
      <alignment horizontal="center" vertical="top" shrinkToFit="1"/>
    </xf>
    <xf numFmtId="0" fontId="2" fillId="0" borderId="0" xfId="12" applyAlignment="1">
      <alignment horizontal="left" vertical="top"/>
    </xf>
    <xf numFmtId="0" fontId="2" fillId="20" borderId="0" xfId="12" applyFill="1" applyAlignment="1">
      <alignment vertical="justify" wrapText="1"/>
    </xf>
    <xf numFmtId="0" fontId="59" fillId="20" borderId="4" xfId="12" applyFont="1" applyFill="1" applyBorder="1" applyAlignment="1">
      <alignment horizontal="center" vertical="center" wrapText="1"/>
    </xf>
    <xf numFmtId="10" fontId="8" fillId="20" borderId="4" xfId="12" applyNumberFormat="1" applyFont="1" applyFill="1" applyBorder="1" applyAlignment="1">
      <alignment horizontal="center" vertical="center" shrinkToFit="1"/>
    </xf>
    <xf numFmtId="0" fontId="2" fillId="20" borderId="0" xfId="12" applyFill="1" applyAlignment="1">
      <alignment horizontal="left" vertical="top"/>
    </xf>
    <xf numFmtId="0" fontId="59" fillId="20" borderId="4" xfId="12" applyFont="1" applyFill="1" applyBorder="1" applyAlignment="1">
      <alignment horizontal="center" vertical="top" wrapText="1"/>
    </xf>
    <xf numFmtId="0" fontId="59" fillId="20" borderId="62" xfId="12" applyFont="1" applyFill="1" applyBorder="1" applyAlignment="1">
      <alignment horizontal="center" vertical="center" wrapText="1"/>
    </xf>
    <xf numFmtId="10" fontId="8" fillId="20" borderId="64" xfId="12" applyNumberFormat="1" applyFont="1" applyFill="1" applyBorder="1" applyAlignment="1">
      <alignment horizontal="center" vertical="center" shrinkToFit="1"/>
    </xf>
    <xf numFmtId="10" fontId="10" fillId="20" borderId="65" xfId="12" applyNumberFormat="1" applyFont="1" applyFill="1" applyBorder="1" applyAlignment="1">
      <alignment horizontal="center" vertical="center" shrinkToFit="1"/>
    </xf>
    <xf numFmtId="0" fontId="8" fillId="20" borderId="0" xfId="11" applyFont="1" applyFill="1" applyAlignment="1">
      <alignment horizontal="left" vertical="center"/>
    </xf>
    <xf numFmtId="0" fontId="2" fillId="0" borderId="0" xfId="12" applyAlignment="1">
      <alignment horizontal="center" vertical="top" wrapText="1"/>
    </xf>
    <xf numFmtId="0" fontId="2" fillId="0" borderId="0" xfId="12"/>
    <xf numFmtId="0" fontId="56" fillId="0" borderId="4" xfId="12" applyFont="1" applyBorder="1" applyAlignment="1">
      <alignment horizontal="center" vertical="center"/>
    </xf>
    <xf numFmtId="0" fontId="56" fillId="0" borderId="0" xfId="12" applyFont="1" applyAlignment="1">
      <alignment vertical="center"/>
    </xf>
    <xf numFmtId="0" fontId="18" fillId="20" borderId="4" xfId="12" applyFont="1" applyFill="1" applyBorder="1" applyAlignment="1">
      <alignment horizontal="center" vertical="center" wrapText="1"/>
    </xf>
    <xf numFmtId="174" fontId="74" fillId="20" borderId="4" xfId="12" applyNumberFormat="1" applyFont="1" applyFill="1" applyBorder="1" applyAlignment="1">
      <alignment horizontal="center" vertical="center"/>
    </xf>
    <xf numFmtId="0" fontId="2" fillId="0" borderId="0" xfId="12" applyAlignment="1">
      <alignment vertical="center"/>
    </xf>
    <xf numFmtId="174" fontId="13" fillId="0" borderId="4" xfId="12" applyNumberFormat="1" applyFont="1" applyBorder="1" applyAlignment="1">
      <alignment horizontal="center" vertical="center" wrapText="1"/>
    </xf>
    <xf numFmtId="0" fontId="75" fillId="0" borderId="0" xfId="12" applyFont="1" applyAlignment="1">
      <alignment vertical="center"/>
    </xf>
    <xf numFmtId="0" fontId="2" fillId="17" borderId="0" xfId="12" applyFill="1" applyAlignment="1">
      <alignment horizontal="left" vertical="top"/>
    </xf>
    <xf numFmtId="0" fontId="58" fillId="17" borderId="4" xfId="11" applyFont="1" applyFill="1" applyBorder="1" applyAlignment="1">
      <alignment horizontal="center" vertical="top" wrapText="1"/>
    </xf>
    <xf numFmtId="1" fontId="61" fillId="17" borderId="4" xfId="11" applyNumberFormat="1" applyFont="1" applyFill="1" applyBorder="1" applyAlignment="1">
      <alignment horizontal="center" vertical="center" shrinkToFit="1"/>
    </xf>
    <xf numFmtId="172" fontId="59" fillId="17" borderId="4" xfId="11" applyNumberFormat="1" applyFont="1" applyFill="1" applyBorder="1" applyAlignment="1">
      <alignment horizontal="center" vertical="center" wrapText="1"/>
    </xf>
    <xf numFmtId="172" fontId="48" fillId="0" borderId="0" xfId="6" applyNumberFormat="1" applyFont="1"/>
    <xf numFmtId="0" fontId="18" fillId="24" borderId="2" xfId="0" applyFont="1" applyFill="1" applyBorder="1" applyAlignment="1">
      <alignment vertical="center" wrapText="1"/>
    </xf>
    <xf numFmtId="167" fontId="20" fillId="17" borderId="15" xfId="3" applyNumberFormat="1" applyFont="1" applyFill="1" applyBorder="1" applyAlignment="1" applyProtection="1">
      <alignment vertical="center"/>
    </xf>
    <xf numFmtId="166" fontId="16" fillId="17" borderId="15" xfId="1" applyFont="1" applyFill="1" applyBorder="1" applyAlignment="1" applyProtection="1">
      <alignment horizontal="right" vertical="center"/>
    </xf>
    <xf numFmtId="0" fontId="8" fillId="17" borderId="0" xfId="0" applyFont="1" applyFill="1"/>
    <xf numFmtId="0" fontId="10" fillId="6" borderId="4" xfId="0" applyFont="1" applyFill="1" applyBorder="1" applyAlignment="1">
      <alignment vertical="center"/>
    </xf>
    <xf numFmtId="172" fontId="10" fillId="6" borderId="4" xfId="0" applyNumberFormat="1" applyFont="1" applyFill="1" applyBorder="1" applyAlignment="1">
      <alignment vertical="center"/>
    </xf>
    <xf numFmtId="172" fontId="46" fillId="0" borderId="0" xfId="6" applyNumberFormat="1" applyFont="1"/>
    <xf numFmtId="0" fontId="11" fillId="2" borderId="19" xfId="0" applyFont="1" applyFill="1" applyBorder="1" applyAlignment="1">
      <alignment vertical="center" wrapText="1"/>
    </xf>
    <xf numFmtId="0" fontId="11" fillId="2" borderId="19" xfId="0" applyFont="1" applyFill="1" applyBorder="1" applyAlignment="1">
      <alignment horizontal="center" vertical="center"/>
    </xf>
    <xf numFmtId="172" fontId="11" fillId="2" borderId="19" xfId="0" applyNumberFormat="1" applyFont="1" applyFill="1" applyBorder="1" applyAlignment="1">
      <alignment horizontal="right" vertical="center"/>
    </xf>
    <xf numFmtId="172" fontId="11" fillId="0" borderId="19" xfId="2" applyNumberFormat="1" applyFont="1" applyBorder="1" applyAlignment="1" applyProtection="1">
      <alignment vertical="center"/>
    </xf>
    <xf numFmtId="0" fontId="11" fillId="2" borderId="17" xfId="0" applyFont="1" applyFill="1" applyBorder="1" applyAlignment="1">
      <alignment vertical="center" wrapText="1"/>
    </xf>
    <xf numFmtId="0" fontId="11" fillId="2" borderId="17" xfId="0" applyFont="1" applyFill="1" applyBorder="1" applyAlignment="1">
      <alignment horizontal="center" vertical="center"/>
    </xf>
    <xf numFmtId="172" fontId="11" fillId="2" borderId="17" xfId="0" applyNumberFormat="1" applyFont="1" applyFill="1" applyBorder="1" applyAlignment="1">
      <alignment horizontal="right" vertical="center"/>
    </xf>
    <xf numFmtId="172" fontId="11" fillId="0" borderId="17" xfId="2" applyNumberFormat="1" applyFont="1" applyBorder="1" applyAlignment="1" applyProtection="1">
      <alignment vertical="center"/>
    </xf>
    <xf numFmtId="0" fontId="43" fillId="0" borderId="38" xfId="7" applyBorder="1"/>
    <xf numFmtId="0" fontId="43" fillId="0" borderId="51" xfId="7" applyBorder="1"/>
    <xf numFmtId="0" fontId="43" fillId="0" borderId="52" xfId="7" applyBorder="1"/>
    <xf numFmtId="0" fontId="13" fillId="4" borderId="39" xfId="0" applyFont="1" applyFill="1" applyBorder="1" applyAlignment="1">
      <alignment horizontal="center" vertical="center"/>
    </xf>
    <xf numFmtId="0" fontId="13" fillId="4" borderId="20" xfId="0" applyFont="1" applyFill="1" applyBorder="1" applyAlignment="1">
      <alignment horizontal="center" vertical="center"/>
    </xf>
    <xf numFmtId="0" fontId="30" fillId="3" borderId="28" xfId="0" applyFont="1" applyFill="1" applyBorder="1" applyAlignment="1">
      <alignment horizontal="center" vertical="center"/>
    </xf>
    <xf numFmtId="0" fontId="30" fillId="3" borderId="29" xfId="0" applyFont="1" applyFill="1" applyBorder="1" applyAlignment="1">
      <alignment horizontal="center" vertical="center"/>
    </xf>
    <xf numFmtId="0" fontId="30" fillId="3" borderId="22" xfId="0" applyFont="1" applyFill="1" applyBorder="1" applyAlignment="1">
      <alignment horizontal="center" vertical="center"/>
    </xf>
    <xf numFmtId="0" fontId="30" fillId="3" borderId="18"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4" borderId="18" xfId="0" applyFont="1" applyFill="1" applyBorder="1" applyAlignment="1">
      <alignment horizontal="center" vertical="center"/>
    </xf>
    <xf numFmtId="0" fontId="36" fillId="22" borderId="31" xfId="6" applyFont="1" applyFill="1" applyBorder="1" applyAlignment="1">
      <alignment horizontal="left" vertical="center" wrapText="1"/>
    </xf>
    <xf numFmtId="0" fontId="36" fillId="22" borderId="0" xfId="6" applyFont="1" applyFill="1" applyBorder="1" applyAlignment="1">
      <alignment horizontal="left" vertical="center" wrapText="1"/>
    </xf>
    <xf numFmtId="0" fontId="36" fillId="22" borderId="32" xfId="6" applyFont="1" applyFill="1" applyBorder="1" applyAlignment="1">
      <alignment horizontal="left" vertical="center" wrapText="1"/>
    </xf>
    <xf numFmtId="0" fontId="37" fillId="22" borderId="0" xfId="6" applyFont="1" applyFill="1" applyBorder="1" applyAlignment="1">
      <alignment horizontal="left" vertical="center" wrapText="1"/>
    </xf>
    <xf numFmtId="0" fontId="37" fillId="22" borderId="32" xfId="6" applyFont="1" applyFill="1" applyBorder="1" applyAlignment="1">
      <alignment horizontal="left" vertical="center" wrapText="1"/>
    </xf>
    <xf numFmtId="0" fontId="11" fillId="2" borderId="21"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36" fillId="22" borderId="26" xfId="6" applyFont="1" applyFill="1" applyBorder="1" applyAlignment="1">
      <alignment horizontal="left" vertical="center" wrapText="1"/>
    </xf>
    <xf numFmtId="0" fontId="50" fillId="0" borderId="0" xfId="6" applyFont="1" applyBorder="1" applyAlignment="1">
      <alignment vertical="center"/>
    </xf>
    <xf numFmtId="0" fontId="50" fillId="0" borderId="32" xfId="6" applyFont="1" applyBorder="1" applyAlignment="1">
      <alignment vertical="center"/>
    </xf>
    <xf numFmtId="0" fontId="49" fillId="22" borderId="38" xfId="9" applyFont="1" applyFill="1" applyBorder="1" applyAlignment="1">
      <alignment horizontal="center"/>
    </xf>
    <xf numFmtId="0" fontId="49" fillId="22" borderId="25" xfId="9" applyFont="1" applyFill="1" applyBorder="1" applyAlignment="1">
      <alignment horizontal="center"/>
    </xf>
    <xf numFmtId="0" fontId="49" fillId="22" borderId="32" xfId="9" applyFont="1" applyFill="1" applyBorder="1" applyAlignment="1">
      <alignment horizontal="center"/>
    </xf>
    <xf numFmtId="0" fontId="37" fillId="0" borderId="25" xfId="6" applyFont="1" applyBorder="1" applyAlignment="1">
      <alignment horizontal="left"/>
    </xf>
    <xf numFmtId="0" fontId="37" fillId="0" borderId="32" xfId="6" applyFont="1" applyBorder="1" applyAlignment="1">
      <alignment horizontal="left"/>
    </xf>
    <xf numFmtId="0" fontId="36" fillId="22" borderId="39" xfId="6" applyFont="1" applyFill="1" applyBorder="1" applyAlignment="1">
      <alignment horizontal="left" vertical="center" wrapText="1"/>
    </xf>
    <xf numFmtId="0" fontId="36" fillId="22" borderId="59" xfId="6" applyFont="1" applyFill="1" applyBorder="1" applyAlignment="1">
      <alignment horizontal="left" vertical="center" wrapText="1"/>
    </xf>
    <xf numFmtId="0" fontId="37" fillId="0" borderId="60" xfId="6" applyFont="1" applyBorder="1" applyAlignment="1">
      <alignment horizontal="left"/>
    </xf>
    <xf numFmtId="0" fontId="37" fillId="0" borderId="20" xfId="6" applyFont="1" applyBorder="1" applyAlignment="1">
      <alignment horizontal="left"/>
    </xf>
    <xf numFmtId="0" fontId="36" fillId="22" borderId="47" xfId="6" applyFont="1" applyFill="1" applyBorder="1" applyAlignment="1">
      <alignment horizontal="center" vertical="center" wrapText="1"/>
    </xf>
    <xf numFmtId="0" fontId="36" fillId="22" borderId="48" xfId="6" applyFont="1" applyFill="1" applyBorder="1" applyAlignment="1">
      <alignment horizontal="center" vertical="center" wrapText="1"/>
    </xf>
    <xf numFmtId="0" fontId="36" fillId="22" borderId="49" xfId="6" applyFont="1" applyFill="1" applyBorder="1" applyAlignment="1">
      <alignment horizontal="center" vertical="center" wrapText="1"/>
    </xf>
    <xf numFmtId="0" fontId="36" fillId="22" borderId="44" xfId="6" applyFont="1" applyFill="1" applyBorder="1" applyAlignment="1">
      <alignment horizontal="justify" vertical="center" wrapText="1"/>
    </xf>
    <xf numFmtId="0" fontId="36" fillId="22" borderId="45" xfId="6" applyFont="1" applyFill="1" applyBorder="1" applyAlignment="1">
      <alignment horizontal="justify" vertical="center" wrapText="1"/>
    </xf>
    <xf numFmtId="0" fontId="36" fillId="22" borderId="46" xfId="6" applyFont="1" applyFill="1" applyBorder="1" applyAlignment="1">
      <alignment horizontal="justify" vertical="center" wrapText="1"/>
    </xf>
    <xf numFmtId="0" fontId="36" fillId="22" borderId="33" xfId="6" applyFont="1" applyFill="1" applyBorder="1" applyAlignment="1">
      <alignment horizontal="left" vertical="center" wrapText="1"/>
    </xf>
    <xf numFmtId="0" fontId="36" fillId="22" borderId="23" xfId="6" applyFont="1" applyFill="1" applyBorder="1" applyAlignment="1">
      <alignment horizontal="left" vertical="center" wrapText="1"/>
    </xf>
    <xf numFmtId="0" fontId="36" fillId="22" borderId="34" xfId="6" applyFont="1" applyFill="1" applyBorder="1" applyAlignment="1">
      <alignment horizontal="left" vertical="center" wrapText="1"/>
    </xf>
    <xf numFmtId="0" fontId="36" fillId="22" borderId="36" xfId="6" applyFont="1" applyFill="1" applyBorder="1" applyAlignment="1">
      <alignment horizontal="left" vertical="center" wrapText="1"/>
    </xf>
    <xf numFmtId="0" fontId="36" fillId="22" borderId="27" xfId="6" applyFont="1" applyFill="1" applyBorder="1" applyAlignment="1">
      <alignment horizontal="left" vertical="center" wrapText="1"/>
    </xf>
    <xf numFmtId="0" fontId="36" fillId="22" borderId="37" xfId="6" applyFont="1" applyFill="1" applyBorder="1" applyAlignment="1">
      <alignment horizontal="left" vertical="center" wrapText="1"/>
    </xf>
    <xf numFmtId="0" fontId="43" fillId="22" borderId="31" xfId="7" applyFill="1" applyBorder="1"/>
    <xf numFmtId="0" fontId="43" fillId="22" borderId="26" xfId="7" applyFill="1" applyBorder="1"/>
    <xf numFmtId="0" fontId="54" fillId="22" borderId="38" xfId="9" applyFont="1" applyFill="1" applyBorder="1" applyAlignment="1">
      <alignment horizontal="center"/>
    </xf>
    <xf numFmtId="0" fontId="54" fillId="22" borderId="25" xfId="9" applyFont="1" applyFill="1" applyBorder="1" applyAlignment="1">
      <alignment horizontal="center"/>
    </xf>
    <xf numFmtId="0" fontId="54" fillId="22" borderId="32" xfId="9" applyFont="1" applyFill="1" applyBorder="1" applyAlignment="1">
      <alignment horizontal="center"/>
    </xf>
    <xf numFmtId="0" fontId="43" fillId="22" borderId="31" xfId="7" applyFill="1" applyBorder="1" applyAlignment="1">
      <alignment horizontal="center"/>
    </xf>
    <xf numFmtId="0" fontId="43" fillId="22" borderId="0" xfId="7" applyFill="1" applyAlignment="1">
      <alignment horizontal="center"/>
    </xf>
    <xf numFmtId="0" fontId="43" fillId="22" borderId="32" xfId="7" applyFill="1" applyBorder="1" applyAlignment="1">
      <alignment horizontal="center"/>
    </xf>
    <xf numFmtId="0" fontId="55" fillId="0" borderId="21" xfId="7" applyFont="1" applyBorder="1" applyAlignment="1">
      <alignment horizontal="center"/>
    </xf>
    <xf numFmtId="0" fontId="55" fillId="0" borderId="50" xfId="7" applyFont="1" applyBorder="1" applyAlignment="1">
      <alignment horizontal="center"/>
    </xf>
    <xf numFmtId="0" fontId="55" fillId="0" borderId="49" xfId="7" applyFont="1" applyBorder="1" applyAlignment="1">
      <alignment horizontal="center"/>
    </xf>
    <xf numFmtId="0" fontId="37" fillId="22" borderId="31" xfId="6" applyFont="1" applyFill="1" applyBorder="1" applyAlignment="1">
      <alignment vertical="center" wrapText="1"/>
    </xf>
    <xf numFmtId="0" fontId="37" fillId="22" borderId="0" xfId="6" applyFont="1" applyFill="1" applyBorder="1" applyAlignment="1">
      <alignment vertical="center" wrapText="1"/>
    </xf>
    <xf numFmtId="0" fontId="37" fillId="22" borderId="31" xfId="8" applyFont="1" applyFill="1" applyBorder="1" applyAlignment="1">
      <alignment horizontal="justify" vertical="center" wrapText="1"/>
    </xf>
    <xf numFmtId="0" fontId="37" fillId="22" borderId="0" xfId="8" applyFont="1" applyFill="1" applyBorder="1" applyAlignment="1">
      <alignment horizontal="justify" vertical="center" wrapText="1"/>
    </xf>
    <xf numFmtId="0" fontId="37" fillId="22" borderId="32" xfId="8" applyFont="1" applyFill="1" applyBorder="1" applyAlignment="1">
      <alignment horizontal="justify" vertical="center" wrapText="1"/>
    </xf>
    <xf numFmtId="0" fontId="43" fillId="22" borderId="0" xfId="7" applyFill="1"/>
    <xf numFmtId="0" fontId="43" fillId="22" borderId="32" xfId="7" applyFill="1" applyBorder="1"/>
    <xf numFmtId="0" fontId="47" fillId="0" borderId="47" xfId="6" applyFont="1" applyBorder="1" applyAlignment="1">
      <alignment horizontal="center" vertical="center" wrapText="1"/>
    </xf>
    <xf numFmtId="0" fontId="47" fillId="0" borderId="48" xfId="6" applyFont="1" applyBorder="1" applyAlignment="1">
      <alignment horizontal="center" vertical="center" wrapText="1"/>
    </xf>
    <xf numFmtId="0" fontId="47" fillId="0" borderId="49" xfId="6" applyFont="1" applyBorder="1" applyAlignment="1">
      <alignment horizontal="center" vertical="center" wrapText="1"/>
    </xf>
    <xf numFmtId="0" fontId="47" fillId="0" borderId="47" xfId="6" applyFont="1" applyBorder="1" applyAlignment="1">
      <alignment horizontal="center" vertical="center"/>
    </xf>
    <xf numFmtId="0" fontId="47" fillId="0" borderId="48" xfId="6" applyFont="1" applyBorder="1" applyAlignment="1">
      <alignment horizontal="center" vertical="center"/>
    </xf>
    <xf numFmtId="0" fontId="47" fillId="0" borderId="49" xfId="6" applyFont="1" applyBorder="1" applyAlignment="1">
      <alignment horizontal="center" vertical="center"/>
    </xf>
    <xf numFmtId="0" fontId="12" fillId="4" borderId="40" xfId="0" applyFont="1" applyFill="1" applyBorder="1" applyAlignment="1">
      <alignment horizontal="center" vertical="center"/>
    </xf>
    <xf numFmtId="0" fontId="12" fillId="4" borderId="41" xfId="0" applyFont="1" applyFill="1" applyBorder="1" applyAlignment="1">
      <alignment horizontal="center" vertical="center"/>
    </xf>
    <xf numFmtId="0" fontId="36" fillId="22" borderId="53" xfId="10" applyFont="1" applyFill="1" applyBorder="1" applyAlignment="1">
      <alignment horizontal="center" vertical="center" wrapText="1"/>
    </xf>
    <xf numFmtId="0" fontId="36" fillId="22" borderId="54" xfId="10" applyFont="1" applyFill="1" applyBorder="1" applyAlignment="1">
      <alignment horizontal="center" vertical="center" wrapText="1"/>
    </xf>
    <xf numFmtId="0" fontId="36" fillId="22" borderId="55" xfId="10" applyFont="1" applyFill="1" applyBorder="1" applyAlignment="1">
      <alignment horizontal="center" vertical="center" wrapText="1"/>
    </xf>
    <xf numFmtId="0" fontId="36" fillId="22" borderId="56" xfId="10" applyFont="1" applyFill="1" applyBorder="1" applyAlignment="1">
      <alignment horizontal="center" vertical="center" wrapText="1"/>
    </xf>
    <xf numFmtId="0" fontId="36" fillId="22" borderId="57" xfId="10" applyFont="1" applyFill="1" applyBorder="1" applyAlignment="1">
      <alignment horizontal="center" vertical="center" wrapText="1"/>
    </xf>
    <xf numFmtId="0" fontId="36" fillId="22" borderId="58" xfId="10" applyFont="1" applyFill="1" applyBorder="1" applyAlignment="1">
      <alignment horizontal="center" vertical="center" wrapText="1"/>
    </xf>
    <xf numFmtId="0" fontId="36" fillId="22" borderId="53" xfId="6" applyFont="1" applyFill="1" applyBorder="1" applyAlignment="1">
      <alignment horizontal="center" vertical="center" wrapText="1"/>
    </xf>
    <xf numFmtId="0" fontId="36" fillId="22" borderId="54" xfId="6" applyFont="1" applyFill="1" applyBorder="1" applyAlignment="1">
      <alignment horizontal="center" vertical="center" wrapText="1"/>
    </xf>
    <xf numFmtId="0" fontId="36" fillId="22" borderId="55" xfId="6" applyFont="1" applyFill="1" applyBorder="1" applyAlignment="1">
      <alignment horizontal="center" vertical="center" wrapText="1"/>
    </xf>
    <xf numFmtId="0" fontId="36" fillId="22" borderId="35" xfId="6" applyFont="1" applyFill="1" applyBorder="1" applyAlignment="1">
      <alignment horizontal="left" vertical="center" wrapText="1"/>
    </xf>
    <xf numFmtId="0" fontId="36" fillId="22" borderId="24" xfId="6" applyFont="1" applyFill="1" applyBorder="1" applyAlignment="1">
      <alignment horizontal="left" vertical="center" wrapText="1"/>
    </xf>
    <xf numFmtId="0" fontId="51" fillId="23" borderId="31" xfId="6" applyFont="1" applyFill="1" applyBorder="1" applyAlignment="1">
      <alignment horizontal="center" vertical="center" wrapText="1"/>
    </xf>
    <xf numFmtId="0" fontId="51" fillId="23" borderId="0" xfId="6" applyFont="1" applyFill="1" applyBorder="1" applyAlignment="1">
      <alignment horizontal="center" vertical="center" wrapText="1"/>
    </xf>
    <xf numFmtId="0" fontId="51" fillId="23" borderId="32" xfId="6" applyFont="1" applyFill="1" applyBorder="1" applyAlignment="1">
      <alignment horizontal="center" vertical="center" wrapText="1"/>
    </xf>
    <xf numFmtId="0" fontId="38" fillId="22" borderId="31" xfId="6" applyFont="1" applyFill="1" applyBorder="1" applyAlignment="1">
      <alignment horizontal="left" wrapText="1"/>
    </xf>
    <xf numFmtId="0" fontId="38" fillId="22" borderId="0" xfId="6" applyFont="1" applyFill="1" applyBorder="1" applyAlignment="1">
      <alignment horizontal="left" wrapText="1"/>
    </xf>
    <xf numFmtId="0" fontId="40" fillId="22" borderId="31" xfId="6" applyFont="1" applyFill="1" applyBorder="1" applyAlignment="1">
      <alignment horizontal="left" wrapText="1"/>
    </xf>
    <xf numFmtId="0" fontId="40" fillId="22" borderId="0" xfId="6" applyFont="1" applyFill="1" applyBorder="1" applyAlignment="1">
      <alignment horizontal="left" wrapText="1"/>
    </xf>
    <xf numFmtId="0" fontId="41" fillId="22" borderId="31" xfId="6" applyFont="1" applyFill="1" applyBorder="1" applyAlignment="1">
      <alignment horizontal="left" wrapText="1"/>
    </xf>
    <xf numFmtId="0" fontId="41" fillId="22" borderId="0" xfId="6" applyFont="1" applyFill="1" applyBorder="1" applyAlignment="1">
      <alignment horizontal="left" wrapText="1"/>
    </xf>
    <xf numFmtId="0" fontId="52" fillId="22" borderId="47" xfId="6" applyFont="1" applyFill="1" applyBorder="1" applyAlignment="1">
      <alignment horizontal="center" vertical="center" wrapText="1"/>
    </xf>
    <xf numFmtId="0" fontId="52" fillId="22" borderId="48" xfId="6" applyFont="1" applyFill="1" applyBorder="1" applyAlignment="1">
      <alignment horizontal="center" vertical="center" wrapText="1"/>
    </xf>
    <xf numFmtId="0" fontId="52" fillId="22" borderId="49" xfId="6" applyFont="1" applyFill="1" applyBorder="1" applyAlignment="1">
      <alignment horizontal="center" vertical="center" wrapText="1"/>
    </xf>
    <xf numFmtId="0" fontId="12" fillId="4" borderId="22" xfId="0" applyFont="1" applyFill="1" applyBorder="1" applyAlignment="1">
      <alignment horizontal="center" vertical="center"/>
    </xf>
    <xf numFmtId="0" fontId="12" fillId="4" borderId="18" xfId="0" applyFont="1" applyFill="1" applyBorder="1" applyAlignment="1">
      <alignment horizontal="center" vertical="center"/>
    </xf>
    <xf numFmtId="0" fontId="16" fillId="19"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31" fillId="2" borderId="10" xfId="0" applyFont="1" applyFill="1" applyBorder="1" applyAlignment="1">
      <alignment horizontal="left" vertical="center" wrapText="1"/>
    </xf>
    <xf numFmtId="0" fontId="31" fillId="2" borderId="1" xfId="0" applyFont="1" applyFill="1" applyBorder="1" applyAlignment="1">
      <alignment horizontal="left" vertical="center" wrapText="1"/>
    </xf>
    <xf numFmtId="0" fontId="31" fillId="2" borderId="11" xfId="0" applyFont="1" applyFill="1" applyBorder="1" applyAlignment="1">
      <alignment horizontal="left" vertical="center" wrapText="1"/>
    </xf>
    <xf numFmtId="0" fontId="11" fillId="2" borderId="4" xfId="0" applyFont="1" applyFill="1" applyBorder="1" applyAlignment="1">
      <alignment horizontal="left" vertical="center"/>
    </xf>
    <xf numFmtId="0" fontId="13" fillId="2" borderId="4"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1" xfId="0" applyFont="1" applyFill="1" applyBorder="1" applyAlignment="1">
      <alignment horizontal="left" vertical="center"/>
    </xf>
    <xf numFmtId="0" fontId="13" fillId="2" borderId="11" xfId="0" applyFont="1" applyFill="1" applyBorder="1" applyAlignment="1">
      <alignment horizontal="left" vertical="center"/>
    </xf>
    <xf numFmtId="0" fontId="12" fillId="4" borderId="4" xfId="0" applyFont="1" applyFill="1" applyBorder="1" applyAlignment="1">
      <alignment horizontal="center" vertical="center"/>
    </xf>
    <xf numFmtId="0" fontId="13" fillId="4" borderId="6"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8" xfId="0" applyFont="1" applyFill="1" applyBorder="1" applyAlignment="1">
      <alignment horizontal="center" vertical="center"/>
    </xf>
    <xf numFmtId="0" fontId="30" fillId="3" borderId="10" xfId="0" applyFont="1" applyFill="1" applyBorder="1" applyAlignment="1">
      <alignment horizontal="center" vertical="center"/>
    </xf>
    <xf numFmtId="0" fontId="30" fillId="3" borderId="1" xfId="0" applyFont="1" applyFill="1" applyBorder="1" applyAlignment="1">
      <alignment horizontal="center" vertical="center"/>
    </xf>
    <xf numFmtId="0" fontId="30" fillId="3" borderId="11" xfId="0" applyFont="1" applyFill="1" applyBorder="1" applyAlignment="1">
      <alignment horizontal="center" vertical="center"/>
    </xf>
    <xf numFmtId="0" fontId="32" fillId="2" borderId="10" xfId="0" applyFont="1" applyFill="1" applyBorder="1" applyAlignment="1">
      <alignment horizontal="left" vertical="center" wrapText="1"/>
    </xf>
    <xf numFmtId="0" fontId="32" fillId="2" borderId="1" xfId="0" applyFont="1" applyFill="1" applyBorder="1" applyAlignment="1">
      <alignment horizontal="left" vertical="center" wrapText="1"/>
    </xf>
    <xf numFmtId="0" fontId="32" fillId="2" borderId="11" xfId="0" applyFont="1" applyFill="1" applyBorder="1" applyAlignment="1">
      <alignment horizontal="left" vertical="center" wrapText="1"/>
    </xf>
    <xf numFmtId="0" fontId="8" fillId="0" borderId="4" xfId="0" applyFont="1" applyBorder="1" applyAlignment="1">
      <alignment horizontal="center" vertical="center"/>
    </xf>
    <xf numFmtId="0" fontId="13" fillId="4" borderId="12" xfId="0" applyFont="1" applyFill="1" applyBorder="1" applyAlignment="1">
      <alignment horizontal="center" vertical="center"/>
    </xf>
    <xf numFmtId="0" fontId="11" fillId="2" borderId="4" xfId="0" applyFont="1" applyFill="1" applyBorder="1" applyAlignment="1">
      <alignment horizontal="center" vertical="center" wrapText="1"/>
    </xf>
    <xf numFmtId="0" fontId="10" fillId="0" borderId="0" xfId="11" applyFont="1" applyAlignment="1">
      <alignment horizontal="center" vertical="center"/>
    </xf>
    <xf numFmtId="0" fontId="58" fillId="0" borderId="21" xfId="11" applyFont="1" applyBorder="1" applyAlignment="1">
      <alignment horizontal="center" vertical="center" wrapText="1"/>
    </xf>
    <xf numFmtId="0" fontId="8" fillId="0" borderId="22" xfId="11" applyFont="1" applyBorder="1" applyAlignment="1">
      <alignment horizontal="center" vertical="center" wrapText="1"/>
    </xf>
    <xf numFmtId="0" fontId="8" fillId="0" borderId="18" xfId="11" applyFont="1" applyBorder="1" applyAlignment="1">
      <alignment horizontal="center" vertical="center" wrapText="1"/>
    </xf>
    <xf numFmtId="0" fontId="59" fillId="0" borderId="0" xfId="11" applyFont="1" applyAlignment="1">
      <alignment horizontal="left" vertical="center" wrapText="1"/>
    </xf>
    <xf numFmtId="0" fontId="8" fillId="0" borderId="0" xfId="11" applyFont="1" applyAlignment="1">
      <alignment horizontal="left" vertical="center" wrapText="1"/>
    </xf>
    <xf numFmtId="0" fontId="59" fillId="0" borderId="0" xfId="11" applyFont="1" applyAlignment="1">
      <alignment horizontal="center" vertical="center" wrapText="1"/>
    </xf>
    <xf numFmtId="0" fontId="8" fillId="0" borderId="0" xfId="11" applyFont="1" applyAlignment="1">
      <alignment horizontal="left" wrapText="1"/>
    </xf>
    <xf numFmtId="0" fontId="59" fillId="0" borderId="61" xfId="11" applyFont="1" applyBorder="1" applyAlignment="1">
      <alignment horizontal="center" vertical="center" wrapText="1"/>
    </xf>
    <xf numFmtId="0" fontId="8" fillId="0" borderId="0" xfId="11" applyFont="1" applyAlignment="1">
      <alignment horizontal="center" vertical="center" wrapText="1"/>
    </xf>
    <xf numFmtId="0" fontId="61" fillId="0" borderId="0" xfId="11" applyFont="1" applyAlignment="1">
      <alignment horizontal="center" vertical="center" wrapText="1"/>
    </xf>
    <xf numFmtId="0" fontId="61" fillId="20" borderId="4" xfId="11" applyFont="1" applyFill="1" applyBorder="1" applyAlignment="1">
      <alignment horizontal="left" vertical="center" wrapText="1"/>
    </xf>
    <xf numFmtId="0" fontId="59" fillId="0" borderId="4" xfId="11" applyFont="1" applyBorder="1" applyAlignment="1">
      <alignment horizontal="justify" vertical="justify" wrapText="1"/>
    </xf>
    <xf numFmtId="0" fontId="59" fillId="0" borderId="4" xfId="11" applyFont="1" applyBorder="1" applyAlignment="1">
      <alignment horizontal="center" vertical="center" wrapText="1"/>
    </xf>
    <xf numFmtId="0" fontId="8" fillId="0" borderId="4" xfId="11" applyFont="1" applyBorder="1" applyAlignment="1">
      <alignment horizontal="center" vertical="center" wrapText="1"/>
    </xf>
    <xf numFmtId="0" fontId="8" fillId="0" borderId="61" xfId="11" applyFont="1" applyBorder="1" applyAlignment="1">
      <alignment horizontal="center" vertical="center" wrapText="1"/>
    </xf>
    <xf numFmtId="0" fontId="58" fillId="0" borderId="9" xfId="11" applyFont="1" applyBorder="1" applyAlignment="1">
      <alignment horizontal="center" vertical="center" wrapText="1"/>
    </xf>
    <xf numFmtId="0" fontId="59" fillId="0" borderId="4" xfId="11" applyFont="1" applyBorder="1" applyAlignment="1">
      <alignment horizontal="justify" vertical="center" wrapText="1"/>
    </xf>
    <xf numFmtId="0" fontId="8" fillId="0" borderId="12" xfId="11" applyFont="1" applyBorder="1" applyAlignment="1">
      <alignment horizontal="center" vertical="center" wrapText="1"/>
    </xf>
    <xf numFmtId="0" fontId="8" fillId="0" borderId="13" xfId="11" applyFont="1" applyBorder="1" applyAlignment="1">
      <alignment horizontal="center" vertical="center" wrapText="1"/>
    </xf>
    <xf numFmtId="0" fontId="8" fillId="0" borderId="14" xfId="11" applyFont="1" applyBorder="1" applyAlignment="1">
      <alignment horizontal="center" vertical="center" wrapText="1"/>
    </xf>
    <xf numFmtId="0" fontId="61" fillId="0" borderId="6" xfId="11" applyFont="1" applyBorder="1" applyAlignment="1">
      <alignment horizontal="center" vertical="center" wrapText="1"/>
    </xf>
    <xf numFmtId="0" fontId="8" fillId="0" borderId="7" xfId="11" applyFont="1" applyBorder="1" applyAlignment="1">
      <alignment horizontal="center" vertical="center" wrapText="1"/>
    </xf>
    <xf numFmtId="0" fontId="8" fillId="0" borderId="8" xfId="11" applyFont="1" applyBorder="1" applyAlignment="1">
      <alignment horizontal="center" vertical="center" wrapText="1"/>
    </xf>
    <xf numFmtId="0" fontId="61" fillId="0" borderId="0" xfId="11" applyFont="1" applyAlignment="1">
      <alignment horizontal="left" wrapText="1"/>
    </xf>
    <xf numFmtId="0" fontId="13" fillId="0" borderId="4" xfId="12" applyFont="1" applyBorder="1" applyAlignment="1">
      <alignment horizontal="center" vertical="center" wrapText="1"/>
    </xf>
    <xf numFmtId="0" fontId="31" fillId="0" borderId="4" xfId="12" applyFont="1" applyBorder="1" applyAlignment="1">
      <alignment horizontal="center" vertical="center" wrapText="1"/>
    </xf>
    <xf numFmtId="0" fontId="58" fillId="0" borderId="4" xfId="12" applyFont="1" applyBorder="1" applyAlignment="1">
      <alignment horizontal="center" vertical="center" wrapText="1"/>
    </xf>
    <xf numFmtId="0" fontId="59" fillId="0" borderId="4" xfId="12" applyFont="1" applyBorder="1" applyAlignment="1">
      <alignment horizontal="center" vertical="center" wrapText="1"/>
    </xf>
    <xf numFmtId="0" fontId="58" fillId="0" borderId="13" xfId="12" applyFont="1" applyBorder="1" applyAlignment="1">
      <alignment horizontal="center" vertical="center" wrapText="1"/>
    </xf>
    <xf numFmtId="0" fontId="2" fillId="0" borderId="13" xfId="12" applyBorder="1" applyAlignment="1">
      <alignment horizontal="center" vertical="center" wrapText="1"/>
    </xf>
    <xf numFmtId="0" fontId="56" fillId="0" borderId="13" xfId="12" applyFont="1" applyBorder="1" applyAlignment="1">
      <alignment horizontal="left" vertical="center" wrapText="1"/>
    </xf>
    <xf numFmtId="0" fontId="58" fillId="0" borderId="61" xfId="11" applyFont="1" applyBorder="1" applyAlignment="1">
      <alignment horizontal="center" vertical="center" wrapText="1"/>
    </xf>
    <xf numFmtId="0" fontId="58" fillId="0" borderId="0" xfId="11" applyFont="1" applyAlignment="1">
      <alignment horizontal="center" vertical="center" wrapText="1"/>
    </xf>
    <xf numFmtId="0" fontId="58" fillId="0" borderId="4" xfId="12" applyFont="1" applyBorder="1" applyAlignment="1">
      <alignment horizontal="center" vertical="top" wrapText="1"/>
    </xf>
    <xf numFmtId="8" fontId="58" fillId="0" borderId="4" xfId="12" applyNumberFormat="1" applyFont="1" applyBorder="1" applyAlignment="1">
      <alignment horizontal="center" vertical="top" wrapText="1"/>
    </xf>
    <xf numFmtId="172" fontId="58" fillId="0" borderId="4" xfId="12" applyNumberFormat="1" applyFont="1" applyBorder="1" applyAlignment="1">
      <alignment horizontal="center" vertical="top" wrapText="1"/>
    </xf>
    <xf numFmtId="8" fontId="59" fillId="0" borderId="4" xfId="12" applyNumberFormat="1" applyFont="1" applyBorder="1" applyAlignment="1">
      <alignment horizontal="center" vertical="center" wrapText="1"/>
    </xf>
    <xf numFmtId="0" fontId="2" fillId="0" borderId="4" xfId="12" applyBorder="1" applyAlignment="1">
      <alignment horizontal="center" vertical="center" wrapText="1"/>
    </xf>
    <xf numFmtId="0" fontId="58" fillId="0" borderId="10" xfId="12" applyFont="1" applyBorder="1" applyAlignment="1">
      <alignment horizontal="center" vertical="top" wrapText="1"/>
    </xf>
    <xf numFmtId="0" fontId="58" fillId="0" borderId="1" xfId="12" applyFont="1" applyBorder="1" applyAlignment="1">
      <alignment horizontal="center" vertical="top" wrapText="1"/>
    </xf>
    <xf numFmtId="0" fontId="58" fillId="0" borderId="11" xfId="12" applyFont="1" applyBorder="1" applyAlignment="1">
      <alignment horizontal="center" vertical="top" wrapText="1"/>
    </xf>
    <xf numFmtId="0" fontId="59" fillId="0" borderId="4" xfId="12" applyFont="1" applyBorder="1" applyAlignment="1">
      <alignment horizontal="center" vertical="top" wrapText="1"/>
    </xf>
    <xf numFmtId="0" fontId="8" fillId="0" borderId="1" xfId="11" applyFont="1" applyBorder="1" applyAlignment="1">
      <alignment horizontal="center" vertical="center"/>
    </xf>
    <xf numFmtId="0" fontId="58" fillId="17" borderId="4" xfId="11" applyFont="1" applyFill="1" applyBorder="1" applyAlignment="1">
      <alignment horizontal="center" vertical="center" wrapText="1"/>
    </xf>
    <xf numFmtId="0" fontId="58" fillId="17" borderId="4" xfId="11" applyFont="1" applyFill="1" applyBorder="1" applyAlignment="1">
      <alignment horizontal="center" vertical="top" wrapText="1"/>
    </xf>
    <xf numFmtId="0" fontId="8" fillId="17" borderId="4" xfId="11" applyFont="1" applyFill="1" applyBorder="1" applyAlignment="1">
      <alignment horizontal="center" vertical="top" wrapText="1"/>
    </xf>
    <xf numFmtId="0" fontId="66" fillId="17" borderId="4" xfId="11" applyFont="1" applyFill="1" applyBorder="1" applyAlignment="1">
      <alignment horizontal="center" vertical="top" wrapText="1"/>
    </xf>
    <xf numFmtId="0" fontId="58" fillId="17" borderId="6" xfId="12" applyFont="1" applyFill="1" applyBorder="1" applyAlignment="1">
      <alignment horizontal="center" vertical="top" wrapText="1"/>
    </xf>
    <xf numFmtId="0" fontId="56" fillId="17" borderId="7" xfId="12" applyFont="1" applyFill="1" applyBorder="1" applyAlignment="1">
      <alignment horizontal="center" vertical="top" wrapText="1"/>
    </xf>
    <xf numFmtId="0" fontId="56" fillId="17" borderId="8" xfId="12" applyFont="1" applyFill="1" applyBorder="1" applyAlignment="1">
      <alignment horizontal="center" vertical="top" wrapText="1"/>
    </xf>
    <xf numFmtId="0" fontId="10" fillId="0" borderId="2" xfId="11" applyFont="1" applyBorder="1" applyAlignment="1">
      <alignment horizontal="left" vertical="center"/>
    </xf>
    <xf numFmtId="0" fontId="10" fillId="0" borderId="0" xfId="11" applyFont="1" applyAlignment="1">
      <alignment horizontal="left" vertical="center"/>
    </xf>
    <xf numFmtId="0" fontId="8" fillId="0" borderId="0" xfId="11" applyFont="1" applyAlignment="1">
      <alignment horizontal="left" vertical="top" wrapText="1"/>
    </xf>
    <xf numFmtId="0" fontId="8" fillId="0" borderId="3" xfId="11" applyFont="1" applyBorder="1" applyAlignment="1">
      <alignment horizontal="left" vertical="top" wrapText="1"/>
    </xf>
    <xf numFmtId="0" fontId="59" fillId="0" borderId="6" xfId="12" applyFont="1" applyBorder="1" applyAlignment="1">
      <alignment horizontal="center" vertical="top" wrapText="1"/>
    </xf>
    <xf numFmtId="0" fontId="2" fillId="0" borderId="7" xfId="12" applyBorder="1" applyAlignment="1">
      <alignment horizontal="center" vertical="top" wrapText="1"/>
    </xf>
    <xf numFmtId="0" fontId="2" fillId="0" borderId="8" xfId="12" applyBorder="1" applyAlignment="1">
      <alignment horizontal="center" vertical="top" wrapText="1"/>
    </xf>
    <xf numFmtId="0" fontId="58" fillId="0" borderId="0" xfId="12" applyFont="1" applyAlignment="1">
      <alignment horizontal="center" vertical="top" wrapText="1"/>
    </xf>
    <xf numFmtId="1" fontId="61" fillId="17" borderId="4" xfId="11" applyNumberFormat="1" applyFont="1" applyFill="1" applyBorder="1" applyAlignment="1">
      <alignment horizontal="center" vertical="center" shrinkToFit="1"/>
    </xf>
    <xf numFmtId="172" fontId="59" fillId="17" borderId="4" xfId="11" applyNumberFormat="1" applyFont="1" applyFill="1" applyBorder="1" applyAlignment="1">
      <alignment horizontal="center" vertical="center" wrapText="1"/>
    </xf>
    <xf numFmtId="172" fontId="58" fillId="17" borderId="4" xfId="11" applyNumberFormat="1" applyFont="1" applyFill="1" applyBorder="1" applyAlignment="1">
      <alignment horizontal="center" vertical="center" wrapText="1"/>
    </xf>
    <xf numFmtId="172" fontId="66" fillId="17" borderId="4" xfId="11" applyNumberFormat="1" applyFont="1" applyFill="1" applyBorder="1" applyAlignment="1">
      <alignment horizontal="center" vertical="center" wrapText="1"/>
    </xf>
    <xf numFmtId="0" fontId="8" fillId="0" borderId="0" xfId="11" applyFont="1" applyAlignment="1">
      <alignment horizontal="center" vertical="top" wrapText="1"/>
    </xf>
    <xf numFmtId="0" fontId="8" fillId="0" borderId="3" xfId="11" applyFont="1" applyBorder="1" applyAlignment="1">
      <alignment horizontal="center" vertical="top" wrapText="1"/>
    </xf>
    <xf numFmtId="0" fontId="68" fillId="20" borderId="4" xfId="12" applyFont="1" applyFill="1" applyBorder="1" applyAlignment="1">
      <alignment horizontal="center" vertical="center" wrapText="1"/>
    </xf>
    <xf numFmtId="0" fontId="69" fillId="20" borderId="10" xfId="12" applyFont="1" applyFill="1" applyBorder="1" applyAlignment="1">
      <alignment horizontal="justify" vertical="center" wrapText="1"/>
    </xf>
    <xf numFmtId="0" fontId="2" fillId="20" borderId="1" xfId="12" applyFill="1" applyBorder="1" applyAlignment="1">
      <alignment horizontal="justify" vertical="center" wrapText="1"/>
    </xf>
    <xf numFmtId="0" fontId="2" fillId="20" borderId="11" xfId="12" applyFill="1" applyBorder="1" applyAlignment="1">
      <alignment horizontal="justify" vertical="center" wrapText="1"/>
    </xf>
    <xf numFmtId="0" fontId="59" fillId="20" borderId="4" xfId="12" applyFont="1" applyFill="1" applyBorder="1" applyAlignment="1">
      <alignment horizontal="center" vertical="center" wrapText="1"/>
    </xf>
    <xf numFmtId="0" fontId="69" fillId="20" borderId="4" xfId="12" applyFont="1" applyFill="1" applyBorder="1" applyAlignment="1">
      <alignment horizontal="justify" vertical="justify" wrapText="1"/>
    </xf>
    <xf numFmtId="0" fontId="2" fillId="20" borderId="4" xfId="12" applyFill="1" applyBorder="1" applyAlignment="1">
      <alignment horizontal="center" vertical="center" wrapText="1"/>
    </xf>
    <xf numFmtId="0" fontId="69" fillId="20" borderId="4" xfId="12" applyFont="1" applyFill="1" applyBorder="1" applyAlignment="1">
      <alignment horizontal="justify" vertical="center" wrapText="1"/>
    </xf>
    <xf numFmtId="0" fontId="59" fillId="20" borderId="61" xfId="12" applyFont="1" applyFill="1" applyBorder="1" applyAlignment="1">
      <alignment horizontal="center" vertical="center" wrapText="1"/>
    </xf>
    <xf numFmtId="0" fontId="59" fillId="20" borderId="0" xfId="12" applyFont="1" applyFill="1" applyAlignment="1">
      <alignment horizontal="center" vertical="center" wrapText="1"/>
    </xf>
    <xf numFmtId="0" fontId="59" fillId="20" borderId="63" xfId="12" applyFont="1" applyFill="1" applyBorder="1" applyAlignment="1">
      <alignment horizontal="center" vertical="center" wrapText="1"/>
    </xf>
    <xf numFmtId="0" fontId="69" fillId="17" borderId="10" xfId="12" applyFont="1" applyFill="1" applyBorder="1" applyAlignment="1">
      <alignment horizontal="justify" vertical="center" wrapText="1"/>
    </xf>
    <xf numFmtId="0" fontId="2" fillId="17" borderId="1" xfId="12" applyFill="1" applyBorder="1" applyAlignment="1">
      <alignment horizontal="justify" vertical="center" wrapText="1"/>
    </xf>
    <xf numFmtId="0" fontId="2" fillId="17" borderId="11" xfId="12" applyFill="1" applyBorder="1" applyAlignment="1">
      <alignment horizontal="justify" vertical="center" wrapText="1"/>
    </xf>
    <xf numFmtId="0" fontId="58" fillId="20" borderId="12" xfId="12" applyFont="1" applyFill="1" applyBorder="1" applyAlignment="1">
      <alignment horizontal="center" vertical="center" wrapText="1"/>
    </xf>
    <xf numFmtId="0" fontId="58" fillId="20" borderId="13" xfId="12" applyFont="1" applyFill="1" applyBorder="1" applyAlignment="1">
      <alignment horizontal="center" vertical="center" wrapText="1"/>
    </xf>
    <xf numFmtId="0" fontId="58" fillId="20" borderId="14" xfId="12" applyFont="1" applyFill="1" applyBorder="1" applyAlignment="1">
      <alignment horizontal="center" vertical="center" wrapText="1"/>
    </xf>
    <xf numFmtId="0" fontId="2" fillId="20" borderId="12" xfId="12" applyFill="1" applyBorder="1" applyAlignment="1">
      <alignment horizontal="center" vertical="top"/>
    </xf>
    <xf numFmtId="0" fontId="2" fillId="20" borderId="13" xfId="12" applyFill="1" applyBorder="1" applyAlignment="1">
      <alignment horizontal="center" vertical="top"/>
    </xf>
    <xf numFmtId="0" fontId="2" fillId="20" borderId="14" xfId="12" applyFill="1" applyBorder="1" applyAlignment="1">
      <alignment horizontal="center" vertical="top"/>
    </xf>
    <xf numFmtId="0" fontId="8" fillId="0" borderId="4" xfId="11" applyFont="1" applyBorder="1" applyAlignment="1">
      <alignment horizontal="justify" vertical="justify" wrapText="1"/>
    </xf>
    <xf numFmtId="0" fontId="2" fillId="0" borderId="4" xfId="12" applyBorder="1" applyAlignment="1">
      <alignment horizontal="center" vertical="top" wrapText="1"/>
    </xf>
    <xf numFmtId="0" fontId="2" fillId="0" borderId="0" xfId="12" applyAlignment="1">
      <alignment horizontal="center" vertical="top" wrapText="1"/>
    </xf>
    <xf numFmtId="0" fontId="69" fillId="0" borderId="2" xfId="12" applyFont="1" applyBorder="1" applyAlignment="1">
      <alignment horizontal="justify" vertical="justify" wrapText="1"/>
    </xf>
    <xf numFmtId="0" fontId="69" fillId="0" borderId="0" xfId="12" applyFont="1" applyAlignment="1">
      <alignment horizontal="justify" vertical="justify" wrapText="1"/>
    </xf>
    <xf numFmtId="0" fontId="59" fillId="0" borderId="2" xfId="12" applyFont="1" applyBorder="1" applyAlignment="1">
      <alignment horizontal="center" vertical="top" wrapText="1"/>
    </xf>
    <xf numFmtId="0" fontId="59" fillId="0" borderId="0" xfId="12" applyFont="1" applyAlignment="1">
      <alignment horizontal="center" vertical="top" wrapText="1"/>
    </xf>
    <xf numFmtId="0" fontId="70" fillId="0" borderId="4" xfId="12" applyFont="1" applyBorder="1" applyAlignment="1">
      <alignment horizontal="center" vertical="center" wrapText="1"/>
    </xf>
    <xf numFmtId="0" fontId="8" fillId="0" borderId="10" xfId="0" applyFont="1" applyBorder="1" applyAlignment="1">
      <alignment horizontal="center" vertical="center"/>
    </xf>
    <xf numFmtId="0" fontId="8" fillId="0" borderId="1" xfId="0" applyFont="1" applyBorder="1" applyAlignment="1">
      <alignment horizontal="center" vertical="center"/>
    </xf>
    <xf numFmtId="0" fontId="8" fillId="0" borderId="11" xfId="0" applyFont="1" applyBorder="1" applyAlignment="1">
      <alignment horizontal="center" vertical="center"/>
    </xf>
    <xf numFmtId="172" fontId="8" fillId="0" borderId="10" xfId="1" applyNumberFormat="1" applyFont="1" applyBorder="1" applyAlignment="1" applyProtection="1">
      <alignment horizontal="center" vertical="center"/>
    </xf>
    <xf numFmtId="172" fontId="8" fillId="0" borderId="11" xfId="1" applyNumberFormat="1" applyFont="1" applyBorder="1" applyAlignment="1" applyProtection="1">
      <alignment horizontal="center" vertical="center"/>
    </xf>
    <xf numFmtId="172" fontId="8" fillId="0" borderId="1" xfId="1" applyNumberFormat="1" applyFont="1" applyBorder="1" applyAlignment="1" applyProtection="1">
      <alignment horizontal="center" vertical="center"/>
    </xf>
    <xf numFmtId="175" fontId="74" fillId="20" borderId="10" xfId="13" applyNumberFormat="1" applyFont="1" applyFill="1" applyBorder="1" applyAlignment="1">
      <alignment horizontal="center" vertical="center"/>
    </xf>
    <xf numFmtId="175" fontId="74" fillId="20" borderId="1" xfId="13" applyNumberFormat="1" applyFont="1" applyFill="1" applyBorder="1" applyAlignment="1">
      <alignment horizontal="center" vertical="center"/>
    </xf>
    <xf numFmtId="175" fontId="74" fillId="20" borderId="11" xfId="13" applyNumberFormat="1" applyFont="1" applyFill="1" applyBorder="1" applyAlignment="1">
      <alignment horizontal="center" vertical="center"/>
    </xf>
    <xf numFmtId="0" fontId="69" fillId="0" borderId="2" xfId="12" applyFont="1" applyBorder="1" applyAlignment="1">
      <alignment horizontal="center" vertical="top" wrapText="1"/>
    </xf>
    <xf numFmtId="0" fontId="69" fillId="0" borderId="0" xfId="12" applyFont="1" applyAlignment="1">
      <alignment horizontal="center" vertical="top" wrapText="1"/>
    </xf>
    <xf numFmtId="0" fontId="56" fillId="0" borderId="2" xfId="12" applyFont="1" applyBorder="1" applyAlignment="1">
      <alignment horizontal="center" vertical="center" wrapText="1"/>
    </xf>
    <xf numFmtId="0" fontId="56" fillId="0" borderId="0" xfId="12" applyFont="1" applyAlignment="1">
      <alignment horizontal="center" vertical="center" wrapText="1"/>
    </xf>
    <xf numFmtId="0" fontId="56" fillId="0" borderId="0" xfId="12" applyFont="1" applyAlignment="1">
      <alignment horizontal="left" vertical="center" wrapText="1"/>
    </xf>
    <xf numFmtId="0" fontId="30" fillId="0" borderId="2" xfId="12" applyFont="1" applyBorder="1" applyAlignment="1">
      <alignment horizontal="center"/>
    </xf>
    <xf numFmtId="0" fontId="30" fillId="0" borderId="0" xfId="12" applyFont="1" applyAlignment="1">
      <alignment horizontal="center"/>
    </xf>
    <xf numFmtId="0" fontId="30" fillId="0" borderId="4" xfId="12" applyFont="1" applyBorder="1" applyAlignment="1">
      <alignment horizontal="center" vertical="center"/>
    </xf>
    <xf numFmtId="0" fontId="30" fillId="0" borderId="4" xfId="12" applyFont="1" applyBorder="1" applyAlignment="1">
      <alignment horizontal="center" vertical="center" wrapText="1"/>
    </xf>
    <xf numFmtId="0" fontId="30" fillId="0" borderId="10" xfId="12" applyFont="1" applyBorder="1" applyAlignment="1">
      <alignment horizontal="center" vertical="center"/>
    </xf>
    <xf numFmtId="0" fontId="30" fillId="0" borderId="1" xfId="12" applyFont="1" applyBorder="1" applyAlignment="1">
      <alignment horizontal="center" vertical="center"/>
    </xf>
    <xf numFmtId="0" fontId="30" fillId="0" borderId="11" xfId="12" applyFont="1" applyBorder="1" applyAlignment="1">
      <alignment horizontal="center" vertical="center"/>
    </xf>
    <xf numFmtId="174" fontId="30" fillId="20" borderId="10" xfId="12" applyNumberFormat="1" applyFont="1" applyFill="1" applyBorder="1" applyAlignment="1">
      <alignment horizontal="center"/>
    </xf>
    <xf numFmtId="174" fontId="30" fillId="20" borderId="1" xfId="12" applyNumberFormat="1" applyFont="1" applyFill="1" applyBorder="1" applyAlignment="1">
      <alignment horizontal="center"/>
    </xf>
    <xf numFmtId="174" fontId="30" fillId="20" borderId="11" xfId="12" applyNumberFormat="1" applyFont="1" applyFill="1" applyBorder="1" applyAlignment="1">
      <alignment horizontal="center"/>
    </xf>
    <xf numFmtId="175" fontId="30" fillId="20" borderId="6" xfId="13" applyNumberFormat="1" applyFont="1" applyFill="1" applyBorder="1" applyAlignment="1">
      <alignment horizontal="center"/>
    </xf>
    <xf numFmtId="175" fontId="30" fillId="20" borderId="7" xfId="13" applyNumberFormat="1" applyFont="1" applyFill="1" applyBorder="1" applyAlignment="1">
      <alignment horizontal="center"/>
    </xf>
    <xf numFmtId="175" fontId="30" fillId="20" borderId="8" xfId="13" applyNumberFormat="1" applyFont="1" applyFill="1" applyBorder="1" applyAlignment="1">
      <alignment horizontal="center"/>
    </xf>
    <xf numFmtId="175" fontId="30" fillId="20" borderId="10" xfId="13" applyNumberFormat="1" applyFont="1" applyFill="1" applyBorder="1" applyAlignment="1">
      <alignment horizontal="center" vertical="center"/>
    </xf>
    <xf numFmtId="175" fontId="30" fillId="20" borderId="1" xfId="13" applyNumberFormat="1" applyFont="1" applyFill="1" applyBorder="1" applyAlignment="1">
      <alignment horizontal="center" vertical="center"/>
    </xf>
    <xf numFmtId="175" fontId="30" fillId="20" borderId="11" xfId="13" applyNumberFormat="1" applyFont="1" applyFill="1" applyBorder="1" applyAlignment="1">
      <alignment horizontal="center" vertical="center"/>
    </xf>
    <xf numFmtId="0" fontId="2" fillId="20" borderId="13" xfId="12" applyFill="1" applyBorder="1" applyAlignment="1">
      <alignment horizontal="center" vertical="center" wrapText="1"/>
    </xf>
    <xf numFmtId="0" fontId="2" fillId="0" borderId="61" xfId="12" applyBorder="1" applyAlignment="1">
      <alignment horizontal="center" vertical="top" wrapText="1"/>
    </xf>
    <xf numFmtId="0" fontId="16" fillId="0" borderId="0" xfId="12" applyFont="1" applyAlignment="1">
      <alignment horizontal="left" vertical="center" wrapText="1"/>
    </xf>
    <xf numFmtId="0" fontId="8" fillId="0" borderId="0" xfId="11" applyFont="1" applyAlignment="1">
      <alignment horizontal="center" vertical="center"/>
    </xf>
    <xf numFmtId="0" fontId="16" fillId="0" borderId="2" xfId="12" applyFont="1" applyBorder="1" applyAlignment="1">
      <alignment horizontal="left" vertical="center" wrapText="1"/>
    </xf>
    <xf numFmtId="174" fontId="30" fillId="0" borderId="2" xfId="12" applyNumberFormat="1" applyFont="1" applyBorder="1" applyAlignment="1">
      <alignment horizontal="center" vertical="center" wrapText="1"/>
    </xf>
    <xf numFmtId="174" fontId="30" fillId="0" borderId="0" xfId="12" applyNumberFormat="1" applyFont="1" applyAlignment="1">
      <alignment horizontal="center" vertical="center" wrapText="1"/>
    </xf>
    <xf numFmtId="174" fontId="70" fillId="0" borderId="4" xfId="12" applyNumberFormat="1" applyFont="1" applyBorder="1" applyAlignment="1">
      <alignment horizontal="center" vertical="center" wrapText="1"/>
    </xf>
    <xf numFmtId="174" fontId="68" fillId="0" borderId="4" xfId="12" applyNumberFormat="1" applyFont="1" applyBorder="1" applyAlignment="1">
      <alignment horizontal="center" vertic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175" fontId="68" fillId="0" borderId="4" xfId="13" applyNumberFormat="1" applyFont="1" applyBorder="1" applyAlignment="1">
      <alignment horizontal="center" vertical="center"/>
    </xf>
    <xf numFmtId="0" fontId="13" fillId="0" borderId="10" xfId="12" applyFont="1" applyBorder="1" applyAlignment="1">
      <alignment horizontal="left" vertical="center"/>
    </xf>
    <xf numFmtId="0" fontId="13" fillId="0" borderId="1" xfId="12" applyFont="1" applyBorder="1" applyAlignment="1">
      <alignment horizontal="left" vertical="center"/>
    </xf>
    <xf numFmtId="0" fontId="13" fillId="0" borderId="11" xfId="12" applyFont="1" applyBorder="1" applyAlignment="1">
      <alignment horizontal="left" vertical="center"/>
    </xf>
    <xf numFmtId="175" fontId="70" fillId="0" borderId="4" xfId="13" applyNumberFormat="1" applyFont="1" applyBorder="1" applyAlignment="1">
      <alignment horizontal="center" vertical="center"/>
    </xf>
    <xf numFmtId="1" fontId="13" fillId="0" borderId="4" xfId="12" applyNumberFormat="1" applyFont="1" applyBorder="1" applyAlignment="1">
      <alignment horizontal="center" vertical="center"/>
    </xf>
    <xf numFmtId="0" fontId="58" fillId="0" borderId="12" xfId="12" applyFont="1" applyBorder="1" applyAlignment="1">
      <alignment horizontal="left" vertical="top" wrapText="1"/>
    </xf>
    <xf numFmtId="0" fontId="58" fillId="0" borderId="13" xfId="12" applyFont="1" applyBorder="1" applyAlignment="1">
      <alignment horizontal="left" vertical="top" wrapText="1"/>
    </xf>
    <xf numFmtId="0" fontId="58" fillId="0" borderId="14" xfId="12" applyFont="1" applyBorder="1" applyAlignment="1">
      <alignment horizontal="left" vertical="top" wrapText="1"/>
    </xf>
    <xf numFmtId="0" fontId="2" fillId="0" borderId="6" xfId="12" applyBorder="1" applyAlignment="1">
      <alignment horizontal="center" vertical="top" wrapText="1"/>
    </xf>
    <xf numFmtId="0" fontId="31" fillId="0" borderId="12" xfId="12" applyFont="1" applyBorder="1" applyAlignment="1">
      <alignment horizontal="justify" vertical="justify" wrapText="1"/>
    </xf>
    <xf numFmtId="0" fontId="31" fillId="0" borderId="13" xfId="12" applyFont="1" applyBorder="1" applyAlignment="1">
      <alignment horizontal="justify" vertical="justify" wrapText="1"/>
    </xf>
    <xf numFmtId="0" fontId="31" fillId="0" borderId="14" xfId="12" applyFont="1" applyBorder="1" applyAlignment="1">
      <alignment horizontal="justify" vertical="justify" wrapText="1"/>
    </xf>
    <xf numFmtId="0" fontId="31" fillId="0" borderId="2" xfId="12" applyFont="1" applyBorder="1" applyAlignment="1">
      <alignment horizontal="justify" vertical="justify" wrapText="1"/>
    </xf>
    <xf numFmtId="0" fontId="31" fillId="0" borderId="0" xfId="12" applyFont="1" applyAlignment="1">
      <alignment horizontal="justify" vertical="justify" wrapText="1"/>
    </xf>
    <xf numFmtId="0" fontId="31" fillId="0" borderId="3" xfId="12" applyFont="1" applyBorder="1" applyAlignment="1">
      <alignment horizontal="justify" vertical="justify" wrapText="1"/>
    </xf>
    <xf numFmtId="0" fontId="31" fillId="0" borderId="6" xfId="12" applyFont="1" applyBorder="1" applyAlignment="1">
      <alignment horizontal="justify" vertical="justify" wrapText="1"/>
    </xf>
    <xf numFmtId="0" fontId="31" fillId="0" borderId="7" xfId="12" applyFont="1" applyBorder="1" applyAlignment="1">
      <alignment horizontal="justify" vertical="justify" wrapText="1"/>
    </xf>
    <xf numFmtId="0" fontId="31" fillId="0" borderId="8" xfId="12" applyFont="1" applyBorder="1" applyAlignment="1">
      <alignment horizontal="justify" vertical="justify" wrapText="1"/>
    </xf>
    <xf numFmtId="0" fontId="31" fillId="0" borderId="12" xfId="12" applyFont="1" applyBorder="1" applyAlignment="1">
      <alignment horizontal="justify" vertical="center" wrapText="1"/>
    </xf>
    <xf numFmtId="0" fontId="31" fillId="0" borderId="13" xfId="12" applyFont="1" applyBorder="1" applyAlignment="1">
      <alignment horizontal="justify" vertical="center" wrapText="1"/>
    </xf>
    <xf numFmtId="0" fontId="31" fillId="0" borderId="14" xfId="12" applyFont="1" applyBorder="1" applyAlignment="1">
      <alignment horizontal="justify" vertical="center" wrapText="1"/>
    </xf>
    <xf numFmtId="0" fontId="31" fillId="0" borderId="2" xfId="12" applyFont="1" applyBorder="1" applyAlignment="1">
      <alignment horizontal="justify" vertical="center" wrapText="1"/>
    </xf>
    <xf numFmtId="0" fontId="31" fillId="0" borderId="0" xfId="12" applyFont="1" applyAlignment="1">
      <alignment horizontal="justify" vertical="center" wrapText="1"/>
    </xf>
    <xf numFmtId="0" fontId="31" fillId="0" borderId="3" xfId="12" applyFont="1" applyBorder="1" applyAlignment="1">
      <alignment horizontal="justify" vertical="center" wrapText="1"/>
    </xf>
    <xf numFmtId="0" fontId="31" fillId="0" borderId="6" xfId="12" applyFont="1" applyBorder="1" applyAlignment="1">
      <alignment horizontal="justify" vertical="center" wrapText="1"/>
    </xf>
    <xf numFmtId="0" fontId="31" fillId="0" borderId="7" xfId="12" applyFont="1" applyBorder="1" applyAlignment="1">
      <alignment horizontal="justify" vertical="center" wrapText="1"/>
    </xf>
    <xf numFmtId="0" fontId="31" fillId="0" borderId="8" xfId="12" applyFont="1" applyBorder="1" applyAlignment="1">
      <alignment horizontal="justify" vertical="center" wrapText="1"/>
    </xf>
    <xf numFmtId="0" fontId="2" fillId="0" borderId="13" xfId="12" applyBorder="1" applyAlignment="1">
      <alignment horizontal="center" vertical="top" wrapText="1"/>
    </xf>
    <xf numFmtId="0" fontId="17" fillId="0" borderId="10" xfId="12" applyFont="1" applyBorder="1" applyAlignment="1">
      <alignment horizontal="center" vertical="center" wrapText="1"/>
    </xf>
    <xf numFmtId="0" fontId="17" fillId="0" borderId="1" xfId="12" applyFont="1" applyBorder="1" applyAlignment="1">
      <alignment horizontal="center" vertical="center" wrapText="1"/>
    </xf>
    <xf numFmtId="0" fontId="17" fillId="0" borderId="11" xfId="12" applyFont="1" applyBorder="1" applyAlignment="1">
      <alignment horizontal="center" vertical="center" wrapText="1"/>
    </xf>
    <xf numFmtId="0" fontId="58" fillId="0" borderId="12" xfId="12" applyFont="1" applyBorder="1" applyAlignment="1">
      <alignment horizontal="left" vertical="center" wrapText="1"/>
    </xf>
    <xf numFmtId="0" fontId="58" fillId="0" borderId="13" xfId="12" applyFont="1" applyBorder="1" applyAlignment="1">
      <alignment horizontal="left" vertical="center" wrapText="1"/>
    </xf>
    <xf numFmtId="0" fontId="58" fillId="0" borderId="14" xfId="12" applyFont="1" applyBorder="1" applyAlignment="1">
      <alignment horizontal="left" vertical="center" wrapText="1"/>
    </xf>
    <xf numFmtId="0" fontId="28" fillId="2" borderId="16" xfId="0" applyFont="1" applyFill="1" applyBorder="1" applyAlignment="1">
      <alignment horizontal="center"/>
    </xf>
    <xf numFmtId="0" fontId="15" fillId="2" borderId="4" xfId="0" applyFont="1" applyFill="1" applyBorder="1" applyAlignment="1">
      <alignment horizontal="left" vertical="center" wrapText="1"/>
    </xf>
    <xf numFmtId="0" fontId="15" fillId="2" borderId="4" xfId="0" applyFont="1" applyFill="1" applyBorder="1" applyAlignment="1">
      <alignment horizontal="center" vertical="center" wrapText="1"/>
    </xf>
    <xf numFmtId="0" fontId="15" fillId="9" borderId="4" xfId="0" applyFont="1" applyFill="1" applyBorder="1" applyAlignment="1">
      <alignment horizontal="center" vertical="center" wrapText="1"/>
    </xf>
    <xf numFmtId="0" fontId="15" fillId="13" borderId="4" xfId="0" applyFont="1" applyFill="1" applyBorder="1" applyAlignment="1">
      <alignment horizontal="center" vertical="center" wrapText="1"/>
    </xf>
    <xf numFmtId="0" fontId="15" fillId="14" borderId="9" xfId="0" applyFont="1" applyFill="1" applyBorder="1" applyAlignment="1">
      <alignment horizontal="left" vertical="center" wrapText="1"/>
    </xf>
    <xf numFmtId="0" fontId="15" fillId="0" borderId="4" xfId="0" applyFont="1" applyBorder="1" applyAlignment="1">
      <alignment horizontal="center" vertical="center"/>
    </xf>
    <xf numFmtId="172" fontId="15" fillId="20" borderId="4" xfId="2" applyNumberFormat="1" applyFont="1" applyFill="1" applyBorder="1" applyAlignment="1" applyProtection="1">
      <alignment horizontal="center" vertical="center"/>
    </xf>
    <xf numFmtId="0" fontId="15" fillId="20" borderId="4" xfId="0" applyFont="1" applyFill="1" applyBorder="1" applyAlignment="1">
      <alignment horizontal="center" vertical="center"/>
    </xf>
    <xf numFmtId="0" fontId="8" fillId="0" borderId="2" xfId="0" applyFont="1" applyBorder="1" applyAlignment="1">
      <alignment horizontal="center"/>
    </xf>
    <xf numFmtId="0" fontId="8" fillId="0" borderId="0" xfId="0" applyFont="1" applyAlignment="1">
      <alignment horizontal="center"/>
    </xf>
    <xf numFmtId="0" fontId="13" fillId="16" borderId="21" xfId="0" applyFont="1" applyFill="1" applyBorder="1" applyAlignment="1">
      <alignment horizontal="center" vertical="center" wrapText="1"/>
    </xf>
    <xf numFmtId="0" fontId="13" fillId="16" borderId="22" xfId="0" applyFont="1" applyFill="1" applyBorder="1" applyAlignment="1">
      <alignment horizontal="center" vertical="center" wrapText="1"/>
    </xf>
    <xf numFmtId="0" fontId="13" fillId="16" borderId="18" xfId="0" applyFont="1" applyFill="1" applyBorder="1" applyAlignment="1">
      <alignment horizontal="center" vertical="center" wrapText="1"/>
    </xf>
    <xf numFmtId="0" fontId="14" fillId="2" borderId="0" xfId="0" applyFont="1" applyFill="1" applyAlignment="1">
      <alignment horizontal="center" vertical="center"/>
    </xf>
    <xf numFmtId="0" fontId="8" fillId="0" borderId="10" xfId="0" applyFont="1" applyBorder="1" applyAlignment="1">
      <alignment horizontal="center"/>
    </xf>
    <xf numFmtId="0" fontId="8" fillId="0" borderId="1" xfId="0" applyFont="1" applyBorder="1" applyAlignment="1">
      <alignment horizontal="center"/>
    </xf>
    <xf numFmtId="0" fontId="8" fillId="0" borderId="11" xfId="0" applyFont="1" applyBorder="1" applyAlignment="1">
      <alignment horizontal="center"/>
    </xf>
    <xf numFmtId="49" fontId="13" fillId="8" borderId="4" xfId="0" applyNumberFormat="1" applyFont="1" applyFill="1" applyBorder="1" applyAlignment="1">
      <alignment horizontal="center" vertical="center"/>
    </xf>
    <xf numFmtId="0" fontId="16" fillId="8" borderId="4" xfId="0" applyFont="1" applyFill="1" applyBorder="1" applyAlignment="1">
      <alignment horizontal="center" vertical="center"/>
    </xf>
    <xf numFmtId="0" fontId="15" fillId="2" borderId="0" xfId="0" applyFont="1" applyFill="1" applyAlignment="1">
      <alignment horizontal="center" vertical="center" wrapText="1"/>
    </xf>
    <xf numFmtId="168" fontId="16" fillId="0" borderId="4" xfId="0" applyNumberFormat="1" applyFont="1" applyBorder="1" applyAlignment="1">
      <alignment horizontal="center" vertical="center"/>
    </xf>
    <xf numFmtId="0" fontId="16" fillId="0" borderId="4" xfId="0" applyFont="1" applyBorder="1" applyAlignment="1">
      <alignment horizontal="center" vertical="center"/>
    </xf>
    <xf numFmtId="0" fontId="15" fillId="10" borderId="2" xfId="0" applyFont="1" applyFill="1" applyBorder="1" applyAlignment="1">
      <alignment horizontal="center" vertical="center" wrapText="1"/>
    </xf>
    <xf numFmtId="0" fontId="10" fillId="6" borderId="4"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 xfId="0" applyFont="1" applyFill="1" applyBorder="1" applyAlignment="1">
      <alignment horizontal="center" vertical="center"/>
    </xf>
    <xf numFmtId="0" fontId="10" fillId="6" borderId="11"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7" fillId="5" borderId="4" xfId="0" applyFont="1" applyFill="1" applyBorder="1" applyAlignment="1">
      <alignment horizontal="center" vertical="center"/>
    </xf>
    <xf numFmtId="0" fontId="10" fillId="5" borderId="4" xfId="0" applyFont="1" applyFill="1" applyBorder="1" applyAlignment="1">
      <alignment horizontal="center" vertical="center"/>
    </xf>
    <xf numFmtId="172" fontId="79" fillId="0" borderId="0" xfId="6" applyNumberFormat="1" applyFont="1"/>
  </cellXfs>
  <cellStyles count="19">
    <cellStyle name="Excel Built-in Explanatory Text" xfId="5" xr:uid="{00000000-0005-0000-0000-000000000000}"/>
    <cellStyle name="Hyperlink 2 2 2" xfId="8" xr:uid="{890FFCC6-3E35-4270-B850-E31E0821CB77}"/>
    <cellStyle name="Moeda" xfId="2" builtinId="4"/>
    <cellStyle name="Moeda 2" xfId="13" xr:uid="{D5422DF6-FBE1-47A9-93C4-B428034DEBA2}"/>
    <cellStyle name="Normal" xfId="0" builtinId="0"/>
    <cellStyle name="Normal 11 2" xfId="9" xr:uid="{565C0998-9856-47CF-8695-5419FA135025}"/>
    <cellStyle name="Normal 2" xfId="7" xr:uid="{EA542A7C-8208-4C73-AB11-D7A9D9E1772B}"/>
    <cellStyle name="Normal 2 2 25" xfId="10" xr:uid="{632BF925-63E4-4296-A3A6-BC13F3C3B66C}"/>
    <cellStyle name="Normal 2 3 2 14" xfId="6" xr:uid="{04F8CA08-6D4B-4AE3-A230-62BB23F9C0B2}"/>
    <cellStyle name="Normal 3" xfId="12" xr:uid="{69DE0F0F-165A-46FA-9DE7-A6AE2F02C7C2}"/>
    <cellStyle name="Normal 4" xfId="14" xr:uid="{41AF0B37-B6F5-4B9D-A5AD-CC25B7040C4A}"/>
    <cellStyle name="Normal 4 2" xfId="17" xr:uid="{09566293-2100-4419-924F-FDD6EA3953BC}"/>
    <cellStyle name="Normal 9" xfId="11" xr:uid="{4EC85168-9F61-4147-B41D-3824BC5095B0}"/>
    <cellStyle name="Porcentagem" xfId="3" builtinId="5"/>
    <cellStyle name="Porcentagem 2" xfId="16" xr:uid="{051D4540-C7D8-49BC-BBEF-0E3ECA3DE3CD}"/>
    <cellStyle name="Porcentagem 4" xfId="18" xr:uid="{C77C4621-CC2B-424E-845B-727C3AFDB248}"/>
    <cellStyle name="Resultado2" xfId="4" xr:uid="{00000000-0005-0000-0000-000004000000}"/>
    <cellStyle name="Vírgula" xfId="1" builtinId="3"/>
    <cellStyle name="Vírgula 2" xfId="15" xr:uid="{008AA730-3C3F-445A-8175-2C2266B22EA6}"/>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B4C7E7"/>
      <rgbColor rgb="FF993366"/>
      <rgbColor rgb="FFFFFFCC"/>
      <rgbColor rgb="FFCCFFFF"/>
      <rgbColor rgb="FF660066"/>
      <rgbColor rgb="FFFF8080"/>
      <rgbColor rgb="FF0066CC"/>
      <rgbColor rgb="FFCCCCFF"/>
      <rgbColor rgb="FF000080"/>
      <rgbColor rgb="FFFF00FF"/>
      <rgbColor rgb="FFFFF200"/>
      <rgbColor rgb="FF00FFFF"/>
      <rgbColor rgb="FF800080"/>
      <rgbColor rgb="FF800000"/>
      <rgbColor rgb="FF008080"/>
      <rgbColor rgb="FF0000FF"/>
      <rgbColor rgb="FF00CCFF"/>
      <rgbColor rgb="FFCCFFFF"/>
      <rgbColor rgb="FFCCFFCC"/>
      <rgbColor rgb="FFFFFF99"/>
      <rgbColor rgb="FF99CCFF"/>
      <rgbColor rgb="FFFF99CC"/>
      <rgbColor rgb="FFCC99FF"/>
      <rgbColor rgb="FFD0CECE"/>
      <rgbColor rgb="FF3366FF"/>
      <rgbColor rgb="FF33CCCC"/>
      <rgbColor rgb="FF99CC00"/>
      <rgbColor rgb="FFFFCC00"/>
      <rgbColor rgb="FFFF9900"/>
      <rgbColor rgb="FFFF6600"/>
      <rgbColor rgb="FF666699"/>
      <rgbColor rgb="FFAFABAB"/>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161925</xdr:colOff>
      <xdr:row>0</xdr:row>
      <xdr:rowOff>66675</xdr:rowOff>
    </xdr:from>
    <xdr:ext cx="1039956" cy="939509"/>
    <xdr:pic>
      <xdr:nvPicPr>
        <xdr:cNvPr id="3" name="Imagem 2">
          <a:extLst>
            <a:ext uri="{FF2B5EF4-FFF2-40B4-BE49-F238E27FC236}">
              <a16:creationId xmlns:a16="http://schemas.microsoft.com/office/drawing/2014/main" id="{592713F0-06CB-48DC-9D98-7D62EBB0FF2B}"/>
            </a:ext>
          </a:extLst>
        </xdr:cNvPr>
        <xdr:cNvPicPr>
          <a:picLocks noChangeAspect="1"/>
        </xdr:cNvPicPr>
      </xdr:nvPicPr>
      <xdr:blipFill>
        <a:blip xmlns:r="http://schemas.openxmlformats.org/officeDocument/2006/relationships" r:embed="rId1"/>
        <a:srcRect/>
        <a:stretch>
          <a:fillRect/>
        </a:stretch>
      </xdr:blipFill>
      <xdr:spPr>
        <a:xfrm>
          <a:off x="476250" y="66675"/>
          <a:ext cx="1039956" cy="939509"/>
        </a:xfrm>
        <a:prstGeom prst="rect">
          <a:avLst/>
        </a:prstGeom>
        <a:noFill/>
        <a:ln cap="flat">
          <a:noFill/>
        </a:ln>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uciene%20Cristina\Meu%20Drive\COMERCIAL\VIPPIM%20VIGIL&#194;NCIA\CONTRATOS\1.%20PUBLICOS\VIGIL&#194;NCIA\11&#186;%20CJM%20CT%2011.2020%20-%20OK\REPACTUA&#199;&#195;O\2023\2%20-%20Planilha%20Repactuada-CJM.xlsx" TargetMode="External"/><Relationship Id="rId1" Type="http://schemas.openxmlformats.org/officeDocument/2006/relationships/externalLinkPath" Target="file:///C:\Users\Luciene%20Cristina\Meu%20Drive\COMERCIAL\VIPPIM%20VIGIL&#194;NCIA\CONTRATOS\1.%20PUBLICOS\VIGIL&#194;NCIA\11&#186;%20CJM%20CT%2011.2020%20-%20OK\REPACTUA&#199;&#195;O\2023\2%20-%20Planilha%20Repactuada-CJ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posta Cadastro"/>
      <sheetName val="Conta vinculada CJM"/>
      <sheetName val="Proposta"/>
      <sheetName val="Anexo VIII"/>
      <sheetName val="44hs D"/>
      <sheetName val="12x36 DA"/>
      <sheetName val="12X36 NA"/>
      <sheetName val="44HS DA"/>
      <sheetName val="44HS DD"/>
      <sheetName val="3.Resumo"/>
      <sheetName val="4.Quadro"/>
      <sheetName val="Uniformes -IV"/>
      <sheetName val="Equipamentos-IV"/>
      <sheetName val="Anexo VI"/>
      <sheetName val="Memória de Cálculo"/>
      <sheetName val="ES Metodologia"/>
      <sheetName val="FATUR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9">
          <cell r="E9">
            <v>21</v>
          </cell>
          <cell r="F9" t="str">
            <v>R$ 5,50</v>
          </cell>
        </row>
        <row r="10">
          <cell r="F10" t="str">
            <v>R$ 5,50</v>
          </cell>
        </row>
        <row r="15">
          <cell r="E15">
            <v>15</v>
          </cell>
          <cell r="F15" t="str">
            <v>R$ 5,50</v>
          </cell>
        </row>
        <row r="16">
          <cell r="E16">
            <v>15</v>
          </cell>
          <cell r="F16" t="str">
            <v>R$ 5,50</v>
          </cell>
        </row>
      </sheetData>
      <sheetData sheetId="14"/>
      <sheetData sheetId="15">
        <row r="12">
          <cell r="B12">
            <v>0.2</v>
          </cell>
        </row>
        <row r="13">
          <cell r="B13">
            <v>2.5000000000000001E-2</v>
          </cell>
        </row>
        <row r="14">
          <cell r="B14">
            <v>1.4999999999999999E-2</v>
          </cell>
        </row>
        <row r="15">
          <cell r="B15">
            <v>1.4999999999999999E-2</v>
          </cell>
        </row>
        <row r="16">
          <cell r="B16">
            <v>0.01</v>
          </cell>
        </row>
        <row r="17">
          <cell r="B17">
            <v>6.0000000000000001E-3</v>
          </cell>
        </row>
        <row r="18">
          <cell r="B18">
            <v>2E-3</v>
          </cell>
        </row>
        <row r="19">
          <cell r="B19">
            <v>0.08</v>
          </cell>
        </row>
      </sheetData>
      <sheetData sheetId="16"/>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planalto.gov.br/ccivil_03/_Ato2019-2022/2020/Mpv/mpv932.htm" TargetMode="External"/><Relationship Id="rId3" Type="http://schemas.openxmlformats.org/officeDocument/2006/relationships/hyperlink" Target="http://www.planalto.gov.br/ccivil_03/decreto-lei/Del5452.htm" TargetMode="External"/><Relationship Id="rId7" Type="http://schemas.openxmlformats.org/officeDocument/2006/relationships/hyperlink" Target="http://www.planalto.gov.br/ccivil_03/_Ato2019-2022/2020/Mpv/mpv932.htm" TargetMode="External"/><Relationship Id="rId2" Type="http://schemas.openxmlformats.org/officeDocument/2006/relationships/hyperlink" Target="http://www.planalto.gov.br/ccivil_03/decreto-lei/Del5452.htm" TargetMode="External"/><Relationship Id="rId1" Type="http://schemas.openxmlformats.org/officeDocument/2006/relationships/hyperlink" Target="http://www.planalto.gov.br/ccivil_03/decreto-lei/Del5452.htm" TargetMode="External"/><Relationship Id="rId6" Type="http://schemas.openxmlformats.org/officeDocument/2006/relationships/hyperlink" Target="http://www.planalto.gov.br/ccivil_03/decreto-lei/Del5452.htm" TargetMode="External"/><Relationship Id="rId5" Type="http://schemas.openxmlformats.org/officeDocument/2006/relationships/hyperlink" Target="http://www.planalto.gov.br/ccivil_03/decreto-lei/Del5452.htm" TargetMode="External"/><Relationship Id="rId10" Type="http://schemas.openxmlformats.org/officeDocument/2006/relationships/printerSettings" Target="../printerSettings/printerSettings3.bin"/><Relationship Id="rId4" Type="http://schemas.openxmlformats.org/officeDocument/2006/relationships/hyperlink" Target="http://www.planalto.gov.br/ccivil_03/decreto-lei/Del5452.htm" TargetMode="External"/><Relationship Id="rId9" Type="http://schemas.openxmlformats.org/officeDocument/2006/relationships/hyperlink" Target="http://www.planalto.gov.br/ccivil_03/decreto-lei/Del5452.ht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1E7A8-5B8C-44DE-B693-0F900550EBF6}">
  <dimension ref="A1:IW54"/>
  <sheetViews>
    <sheetView showGridLines="0" tabSelected="1" view="pageBreakPreview" topLeftCell="A21" zoomScaleNormal="100" zoomScaleSheetLayoutView="100" workbookViewId="0">
      <selection activeCell="L29" sqref="L29:L30"/>
    </sheetView>
  </sheetViews>
  <sheetFormatPr defaultColWidth="10.28515625" defaultRowHeight="15" x14ac:dyDescent="0.2"/>
  <cols>
    <col min="1" max="1" width="4.7109375" style="161" customWidth="1"/>
    <col min="2" max="2" width="6.42578125" style="161" customWidth="1"/>
    <col min="3" max="3" width="11.5703125" style="161" customWidth="1"/>
    <col min="4" max="4" width="17.28515625" style="161" customWidth="1"/>
    <col min="5" max="5" width="15.5703125" style="161" customWidth="1"/>
    <col min="6" max="7" width="13.140625" style="161" customWidth="1"/>
    <col min="8" max="8" width="15.7109375" style="161" customWidth="1"/>
    <col min="9" max="9" width="13.85546875" style="161" customWidth="1"/>
    <col min="10" max="10" width="16.7109375" style="161" customWidth="1"/>
    <col min="11" max="11" width="20.85546875" style="161" customWidth="1"/>
    <col min="12" max="12" width="17.28515625" style="161" customWidth="1"/>
    <col min="13" max="237" width="10.28515625" style="161" customWidth="1"/>
    <col min="238" max="238" width="3.28515625" style="161" customWidth="1"/>
    <col min="239" max="239" width="29" style="161" customWidth="1"/>
    <col min="240" max="240" width="14" style="161" customWidth="1"/>
    <col min="241" max="241" width="11.28515625" style="161" customWidth="1"/>
    <col min="242" max="242" width="16.7109375" style="161" customWidth="1"/>
    <col min="243" max="243" width="8.85546875" style="161" customWidth="1"/>
    <col min="244" max="244" width="29" style="161" customWidth="1"/>
    <col min="245" max="245" width="10.28515625" style="161" customWidth="1"/>
    <col min="246" max="16384" width="10.28515625" style="161"/>
  </cols>
  <sheetData>
    <row r="1" spans="1:237" ht="15.75" x14ac:dyDescent="0.25">
      <c r="A1" s="181"/>
      <c r="B1" s="182"/>
      <c r="C1" s="182"/>
      <c r="D1" s="182"/>
      <c r="E1" s="183"/>
      <c r="F1" s="183"/>
      <c r="G1" s="183"/>
      <c r="H1" s="183"/>
      <c r="I1" s="183"/>
      <c r="J1" s="183"/>
      <c r="K1" s="184"/>
    </row>
    <row r="2" spans="1:237" ht="30.75" x14ac:dyDescent="0.2">
      <c r="A2" s="185"/>
      <c r="B2" s="186"/>
      <c r="C2" s="186"/>
      <c r="D2" s="314" t="s">
        <v>146</v>
      </c>
      <c r="E2" s="314"/>
      <c r="F2" s="314"/>
      <c r="G2" s="314"/>
      <c r="H2" s="314"/>
      <c r="I2" s="314"/>
      <c r="J2" s="314"/>
      <c r="K2" s="315"/>
    </row>
    <row r="3" spans="1:237" ht="15.75" x14ac:dyDescent="0.25">
      <c r="A3" s="185"/>
      <c r="B3" s="186"/>
      <c r="C3" s="186"/>
      <c r="D3" s="186"/>
      <c r="E3" s="187"/>
      <c r="F3" s="187"/>
      <c r="G3" s="187"/>
      <c r="H3" s="186"/>
      <c r="I3" s="186"/>
      <c r="J3" s="187"/>
      <c r="K3" s="188"/>
    </row>
    <row r="4" spans="1:237" ht="15.75" x14ac:dyDescent="0.25">
      <c r="A4" s="185"/>
      <c r="B4" s="186"/>
      <c r="C4" s="186"/>
      <c r="D4" s="186"/>
      <c r="E4" s="187"/>
      <c r="F4" s="187"/>
      <c r="G4" s="187"/>
      <c r="H4" s="186"/>
      <c r="I4" s="186"/>
      <c r="J4" s="187"/>
      <c r="K4" s="188"/>
    </row>
    <row r="5" spans="1:237" ht="15.75" x14ac:dyDescent="0.25">
      <c r="A5" s="377" t="s">
        <v>430</v>
      </c>
      <c r="B5" s="378"/>
      <c r="C5" s="378"/>
      <c r="D5" s="378"/>
      <c r="E5" s="378"/>
      <c r="F5" s="378"/>
      <c r="G5" s="378"/>
      <c r="H5" s="378"/>
      <c r="I5" s="378"/>
      <c r="J5" s="378"/>
      <c r="K5" s="188"/>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c r="BC5" s="163"/>
      <c r="BD5" s="163"/>
      <c r="BE5" s="163"/>
      <c r="BF5" s="163"/>
      <c r="BG5" s="163"/>
      <c r="BH5" s="163"/>
      <c r="BI5" s="163"/>
      <c r="BJ5" s="163"/>
      <c r="BK5" s="163"/>
      <c r="BL5" s="163"/>
      <c r="BM5" s="163"/>
      <c r="BN5" s="163"/>
      <c r="BO5" s="163"/>
      <c r="BP5" s="163"/>
      <c r="BQ5" s="163"/>
      <c r="BR5" s="163"/>
      <c r="BS5" s="163"/>
      <c r="BT5" s="163"/>
      <c r="BU5" s="163"/>
      <c r="BV5" s="163"/>
      <c r="BW5" s="163"/>
      <c r="BX5" s="163"/>
      <c r="BY5" s="163"/>
      <c r="BZ5" s="163"/>
      <c r="CA5" s="163"/>
      <c r="CB5" s="163"/>
      <c r="CC5" s="163"/>
      <c r="CD5" s="163"/>
      <c r="CE5" s="163"/>
      <c r="CF5" s="163"/>
      <c r="CG5" s="163"/>
      <c r="CH5" s="163"/>
      <c r="CI5" s="163"/>
      <c r="CJ5" s="163"/>
      <c r="CK5" s="163"/>
      <c r="CL5" s="163"/>
      <c r="CM5" s="163"/>
      <c r="CN5" s="163"/>
      <c r="CO5" s="163"/>
      <c r="CP5" s="163"/>
      <c r="CQ5" s="163"/>
      <c r="CR5" s="163"/>
      <c r="CS5" s="163"/>
      <c r="CT5" s="163"/>
      <c r="CU5" s="163"/>
      <c r="CV5" s="163"/>
      <c r="CW5" s="163"/>
      <c r="CX5" s="163"/>
      <c r="CY5" s="163"/>
      <c r="CZ5" s="163"/>
      <c r="DA5" s="163"/>
      <c r="DB5" s="163"/>
      <c r="DC5" s="163"/>
      <c r="DD5" s="163"/>
      <c r="DE5" s="163"/>
      <c r="DF5" s="163"/>
      <c r="DG5" s="163"/>
      <c r="DH5" s="163"/>
      <c r="DI5" s="163"/>
      <c r="DJ5" s="163"/>
      <c r="DK5" s="163"/>
      <c r="DL5" s="163"/>
      <c r="DM5" s="163"/>
      <c r="DN5" s="163"/>
      <c r="DO5" s="163"/>
      <c r="DP5" s="163"/>
      <c r="DQ5" s="163"/>
      <c r="DR5" s="163"/>
      <c r="DS5" s="163"/>
      <c r="DT5" s="163"/>
      <c r="DU5" s="163"/>
      <c r="DV5" s="163"/>
      <c r="DW5" s="163"/>
      <c r="DX5" s="163"/>
      <c r="DY5" s="163"/>
      <c r="DZ5" s="163"/>
      <c r="EA5" s="163"/>
      <c r="EB5" s="163"/>
      <c r="EC5" s="163"/>
      <c r="ED5" s="163"/>
      <c r="EE5" s="163"/>
      <c r="EF5" s="163"/>
      <c r="EG5" s="163"/>
      <c r="EH5" s="163"/>
      <c r="EI5" s="163"/>
      <c r="EJ5" s="163"/>
      <c r="EK5" s="163"/>
      <c r="EL5" s="163"/>
      <c r="EM5" s="163"/>
      <c r="EN5" s="163"/>
      <c r="EO5" s="163"/>
      <c r="EP5" s="163"/>
      <c r="EQ5" s="163"/>
      <c r="ER5" s="163"/>
      <c r="ES5" s="163"/>
      <c r="ET5" s="163"/>
      <c r="EU5" s="163"/>
      <c r="EV5" s="163"/>
      <c r="EW5" s="163"/>
      <c r="EX5" s="163"/>
      <c r="EY5" s="163"/>
      <c r="EZ5" s="163"/>
      <c r="FA5" s="163"/>
      <c r="FB5" s="163"/>
      <c r="FC5" s="163"/>
      <c r="FD5" s="163"/>
      <c r="FE5" s="163"/>
      <c r="FF5" s="163"/>
      <c r="FG5" s="163"/>
      <c r="FH5" s="163"/>
      <c r="FI5" s="163"/>
      <c r="FJ5" s="163"/>
      <c r="FK5" s="163"/>
      <c r="FL5" s="163"/>
      <c r="FM5" s="163"/>
      <c r="FN5" s="163"/>
      <c r="FO5" s="163"/>
      <c r="FP5" s="163"/>
      <c r="FQ5" s="163"/>
      <c r="FR5" s="163"/>
      <c r="FS5" s="163"/>
      <c r="FT5" s="163"/>
      <c r="FU5" s="163"/>
      <c r="FV5" s="163"/>
      <c r="FW5" s="163"/>
      <c r="FX5" s="163"/>
      <c r="FY5" s="163"/>
      <c r="FZ5" s="163"/>
      <c r="GA5" s="163"/>
      <c r="GB5" s="163"/>
      <c r="GC5" s="163"/>
      <c r="GD5" s="163"/>
      <c r="GE5" s="163"/>
      <c r="GF5" s="163"/>
      <c r="GG5" s="163"/>
      <c r="GH5" s="163"/>
      <c r="GI5" s="163"/>
      <c r="GJ5" s="163"/>
      <c r="GK5" s="163"/>
      <c r="GL5" s="163"/>
      <c r="GM5" s="163"/>
      <c r="GN5" s="163"/>
      <c r="GO5" s="163"/>
      <c r="GP5" s="163"/>
      <c r="GQ5" s="163"/>
      <c r="GR5" s="163"/>
      <c r="GS5" s="163"/>
      <c r="GT5" s="163"/>
      <c r="GU5" s="163"/>
      <c r="GV5" s="163"/>
      <c r="GW5" s="163"/>
      <c r="GX5" s="163"/>
      <c r="GY5" s="163"/>
      <c r="GZ5" s="163"/>
      <c r="HA5" s="163"/>
      <c r="HB5" s="163"/>
      <c r="HC5" s="163"/>
      <c r="HD5" s="163"/>
      <c r="HE5" s="163"/>
      <c r="HF5" s="163"/>
      <c r="HG5" s="163"/>
      <c r="HH5" s="163"/>
      <c r="HI5" s="163"/>
      <c r="HJ5" s="163"/>
      <c r="HK5" s="163"/>
      <c r="HL5" s="163"/>
      <c r="HM5" s="163"/>
      <c r="HN5" s="163"/>
      <c r="HO5" s="163"/>
      <c r="HP5" s="163"/>
      <c r="HQ5" s="163"/>
      <c r="HR5" s="163"/>
      <c r="HS5" s="163"/>
      <c r="HT5" s="163"/>
      <c r="HU5" s="163"/>
      <c r="HV5" s="163"/>
      <c r="HW5" s="163"/>
      <c r="HX5" s="163"/>
      <c r="HY5" s="163"/>
      <c r="HZ5" s="163"/>
      <c r="IA5" s="163"/>
      <c r="IB5" s="163"/>
      <c r="IC5" s="163"/>
    </row>
    <row r="6" spans="1:237" ht="18" x14ac:dyDescent="0.25">
      <c r="A6" s="379" t="s">
        <v>431</v>
      </c>
      <c r="B6" s="380"/>
      <c r="C6" s="380"/>
      <c r="D6" s="380"/>
      <c r="E6" s="380"/>
      <c r="F6" s="380"/>
      <c r="G6" s="380"/>
      <c r="H6" s="380"/>
      <c r="I6" s="380"/>
      <c r="J6" s="380"/>
      <c r="K6" s="188"/>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c r="BC6" s="163"/>
      <c r="BD6" s="163"/>
      <c r="BE6" s="163"/>
      <c r="BF6" s="163"/>
      <c r="BG6" s="163"/>
      <c r="BH6" s="163"/>
      <c r="BI6" s="163"/>
      <c r="BJ6" s="163"/>
      <c r="BK6" s="163"/>
      <c r="BL6" s="163"/>
      <c r="BM6" s="163"/>
      <c r="BN6" s="163"/>
      <c r="BO6" s="163"/>
      <c r="BP6" s="163"/>
      <c r="BQ6" s="163"/>
      <c r="BR6" s="163"/>
      <c r="BS6" s="163"/>
      <c r="BT6" s="163"/>
      <c r="BU6" s="163"/>
      <c r="BV6" s="163"/>
      <c r="BW6" s="163"/>
      <c r="BX6" s="163"/>
      <c r="BY6" s="163"/>
      <c r="BZ6" s="163"/>
      <c r="CA6" s="163"/>
      <c r="CB6" s="163"/>
      <c r="CC6" s="163"/>
      <c r="CD6" s="163"/>
      <c r="CE6" s="163"/>
      <c r="CF6" s="163"/>
      <c r="CG6" s="163"/>
      <c r="CH6" s="163"/>
      <c r="CI6" s="163"/>
      <c r="CJ6" s="163"/>
      <c r="CK6" s="163"/>
      <c r="CL6" s="163"/>
      <c r="CM6" s="163"/>
      <c r="CN6" s="163"/>
      <c r="CO6" s="163"/>
      <c r="CP6" s="163"/>
      <c r="CQ6" s="163"/>
      <c r="CR6" s="163"/>
      <c r="CS6" s="163"/>
      <c r="CT6" s="163"/>
      <c r="CU6" s="163"/>
      <c r="CV6" s="163"/>
      <c r="CW6" s="163"/>
      <c r="CX6" s="163"/>
      <c r="CY6" s="163"/>
      <c r="CZ6" s="163"/>
      <c r="DA6" s="163"/>
      <c r="DB6" s="163"/>
      <c r="DC6" s="163"/>
      <c r="DD6" s="163"/>
      <c r="DE6" s="163"/>
      <c r="DF6" s="163"/>
      <c r="DG6" s="163"/>
      <c r="DH6" s="163"/>
      <c r="DI6" s="163"/>
      <c r="DJ6" s="163"/>
      <c r="DK6" s="163"/>
      <c r="DL6" s="163"/>
      <c r="DM6" s="163"/>
      <c r="DN6" s="163"/>
      <c r="DO6" s="163"/>
      <c r="DP6" s="163"/>
      <c r="DQ6" s="163"/>
      <c r="DR6" s="163"/>
      <c r="DS6" s="163"/>
      <c r="DT6" s="163"/>
      <c r="DU6" s="163"/>
      <c r="DV6" s="163"/>
      <c r="DW6" s="163"/>
      <c r="DX6" s="163"/>
      <c r="DY6" s="163"/>
      <c r="DZ6" s="163"/>
      <c r="EA6" s="163"/>
      <c r="EB6" s="163"/>
      <c r="EC6" s="163"/>
      <c r="ED6" s="163"/>
      <c r="EE6" s="163"/>
      <c r="EF6" s="163"/>
      <c r="EG6" s="163"/>
      <c r="EH6" s="163"/>
      <c r="EI6" s="163"/>
      <c r="EJ6" s="163"/>
      <c r="EK6" s="163"/>
      <c r="EL6" s="163"/>
      <c r="EM6" s="163"/>
      <c r="EN6" s="163"/>
      <c r="EO6" s="163"/>
      <c r="EP6" s="163"/>
      <c r="EQ6" s="163"/>
      <c r="ER6" s="163"/>
      <c r="ES6" s="163"/>
      <c r="ET6" s="163"/>
      <c r="EU6" s="163"/>
      <c r="EV6" s="163"/>
      <c r="EW6" s="163"/>
      <c r="EX6" s="163"/>
      <c r="EY6" s="163"/>
      <c r="EZ6" s="163"/>
      <c r="FA6" s="163"/>
      <c r="FB6" s="163"/>
      <c r="FC6" s="163"/>
      <c r="FD6" s="163"/>
      <c r="FE6" s="163"/>
      <c r="FF6" s="163"/>
      <c r="FG6" s="163"/>
      <c r="FH6" s="163"/>
      <c r="FI6" s="163"/>
      <c r="FJ6" s="163"/>
      <c r="FK6" s="163"/>
      <c r="FL6" s="163"/>
      <c r="FM6" s="163"/>
      <c r="FN6" s="163"/>
      <c r="FO6" s="163"/>
      <c r="FP6" s="163"/>
      <c r="FQ6" s="163"/>
      <c r="FR6" s="163"/>
      <c r="FS6" s="163"/>
      <c r="FT6" s="163"/>
      <c r="FU6" s="163"/>
      <c r="FV6" s="163"/>
      <c r="FW6" s="163"/>
      <c r="FX6" s="163"/>
      <c r="FY6" s="163"/>
      <c r="FZ6" s="163"/>
      <c r="GA6" s="163"/>
      <c r="GB6" s="163"/>
      <c r="GC6" s="163"/>
      <c r="GD6" s="163"/>
      <c r="GE6" s="163"/>
      <c r="GF6" s="163"/>
      <c r="GG6" s="163"/>
      <c r="GH6" s="163"/>
      <c r="GI6" s="163"/>
      <c r="GJ6" s="163"/>
      <c r="GK6" s="163"/>
      <c r="GL6" s="163"/>
      <c r="GM6" s="163"/>
      <c r="GN6" s="163"/>
      <c r="GO6" s="163"/>
      <c r="GP6" s="163"/>
      <c r="GQ6" s="163"/>
      <c r="GR6" s="163"/>
      <c r="GS6" s="163"/>
      <c r="GT6" s="163"/>
      <c r="GU6" s="163"/>
      <c r="GV6" s="163"/>
      <c r="GW6" s="163"/>
      <c r="GX6" s="163"/>
      <c r="GY6" s="163"/>
      <c r="GZ6" s="163"/>
      <c r="HA6" s="163"/>
      <c r="HB6" s="163"/>
      <c r="HC6" s="163"/>
      <c r="HD6" s="163"/>
      <c r="HE6" s="163"/>
      <c r="HF6" s="163"/>
      <c r="HG6" s="163"/>
      <c r="HH6" s="163"/>
      <c r="HI6" s="163"/>
      <c r="HJ6" s="163"/>
      <c r="HK6" s="163"/>
      <c r="HL6" s="163"/>
      <c r="HM6" s="163"/>
      <c r="HN6" s="163"/>
      <c r="HO6" s="163"/>
      <c r="HP6" s="163"/>
      <c r="HQ6" s="163"/>
      <c r="HR6" s="163"/>
      <c r="HS6" s="163"/>
      <c r="HT6" s="163"/>
      <c r="HU6" s="163"/>
      <c r="HV6" s="163"/>
      <c r="HW6" s="163"/>
      <c r="HX6" s="163"/>
      <c r="HY6" s="163"/>
      <c r="HZ6" s="163"/>
      <c r="IA6" s="163"/>
      <c r="IB6" s="163"/>
      <c r="IC6" s="163"/>
    </row>
    <row r="7" spans="1:237" ht="15.75" x14ac:dyDescent="0.25">
      <c r="A7" s="381" t="s">
        <v>147</v>
      </c>
      <c r="B7" s="382"/>
      <c r="C7" s="382"/>
      <c r="D7" s="382"/>
      <c r="E7" s="382"/>
      <c r="F7" s="382"/>
      <c r="G7" s="382"/>
      <c r="H7" s="382"/>
      <c r="I7" s="382"/>
      <c r="J7" s="382"/>
      <c r="K7" s="188"/>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c r="BA7" s="164"/>
      <c r="BB7" s="164"/>
      <c r="BC7" s="164"/>
      <c r="BD7" s="164"/>
      <c r="BE7" s="164"/>
      <c r="BF7" s="164"/>
      <c r="BG7" s="164"/>
      <c r="BH7" s="164"/>
      <c r="BI7" s="164"/>
      <c r="BJ7" s="164"/>
      <c r="BK7" s="164"/>
      <c r="BL7" s="164"/>
      <c r="BM7" s="164"/>
      <c r="BN7" s="164"/>
      <c r="BO7" s="164"/>
      <c r="BP7" s="164"/>
      <c r="BQ7" s="164"/>
      <c r="BR7" s="164"/>
      <c r="BS7" s="164"/>
      <c r="BT7" s="164"/>
      <c r="BU7" s="164"/>
      <c r="BV7" s="164"/>
      <c r="BW7" s="164"/>
      <c r="BX7" s="164"/>
      <c r="BY7" s="164"/>
      <c r="BZ7" s="164"/>
      <c r="CA7" s="164"/>
      <c r="CB7" s="164"/>
      <c r="CC7" s="164"/>
      <c r="CD7" s="164"/>
      <c r="CE7" s="164"/>
      <c r="CF7" s="164"/>
      <c r="CG7" s="164"/>
      <c r="CH7" s="164"/>
      <c r="CI7" s="164"/>
      <c r="CJ7" s="164"/>
      <c r="CK7" s="164"/>
      <c r="CL7" s="164"/>
      <c r="CM7" s="164"/>
      <c r="CN7" s="164"/>
      <c r="CO7" s="164"/>
      <c r="CP7" s="164"/>
      <c r="CQ7" s="164"/>
      <c r="CR7" s="164"/>
      <c r="CS7" s="164"/>
      <c r="CT7" s="164"/>
      <c r="CU7" s="164"/>
      <c r="CV7" s="164"/>
      <c r="CW7" s="164"/>
      <c r="CX7" s="164"/>
      <c r="CY7" s="164"/>
      <c r="CZ7" s="164"/>
      <c r="DA7" s="164"/>
      <c r="DB7" s="164"/>
      <c r="DC7" s="164"/>
      <c r="DD7" s="164"/>
      <c r="DE7" s="164"/>
      <c r="DF7" s="164"/>
      <c r="DG7" s="164"/>
      <c r="DH7" s="164"/>
      <c r="DI7" s="164"/>
      <c r="DJ7" s="164"/>
      <c r="DK7" s="164"/>
      <c r="DL7" s="164"/>
      <c r="DM7" s="164"/>
      <c r="DN7" s="164"/>
      <c r="DO7" s="164"/>
      <c r="DP7" s="164"/>
      <c r="DQ7" s="164"/>
      <c r="DR7" s="164"/>
      <c r="DS7" s="164"/>
      <c r="DT7" s="164"/>
      <c r="DU7" s="164"/>
      <c r="DV7" s="164"/>
      <c r="DW7" s="164"/>
      <c r="DX7" s="164"/>
      <c r="DY7" s="164"/>
      <c r="DZ7" s="164"/>
      <c r="EA7" s="164"/>
      <c r="EB7" s="164"/>
      <c r="EC7" s="164"/>
      <c r="ED7" s="164"/>
      <c r="EE7" s="164"/>
      <c r="EF7" s="164"/>
      <c r="EG7" s="164"/>
      <c r="EH7" s="164"/>
      <c r="EI7" s="164"/>
      <c r="EJ7" s="164"/>
      <c r="EK7" s="164"/>
      <c r="EL7" s="164"/>
      <c r="EM7" s="164"/>
      <c r="EN7" s="164"/>
      <c r="EO7" s="164"/>
      <c r="EP7" s="164"/>
      <c r="EQ7" s="164"/>
      <c r="ER7" s="164"/>
      <c r="ES7" s="164"/>
      <c r="ET7" s="164"/>
      <c r="EU7" s="164"/>
      <c r="EV7" s="164"/>
      <c r="EW7" s="164"/>
      <c r="EX7" s="164"/>
      <c r="EY7" s="164"/>
      <c r="EZ7" s="164"/>
      <c r="FA7" s="164"/>
      <c r="FB7" s="164"/>
      <c r="FC7" s="164"/>
      <c r="FD7" s="164"/>
      <c r="FE7" s="164"/>
      <c r="FF7" s="164"/>
      <c r="FG7" s="164"/>
      <c r="FH7" s="164"/>
      <c r="FI7" s="164"/>
      <c r="FJ7" s="164"/>
      <c r="FK7" s="164"/>
      <c r="FL7" s="164"/>
      <c r="FM7" s="164"/>
      <c r="FN7" s="164"/>
      <c r="FO7" s="164"/>
      <c r="FP7" s="164"/>
      <c r="FQ7" s="164"/>
      <c r="FR7" s="164"/>
      <c r="FS7" s="164"/>
      <c r="FT7" s="164"/>
      <c r="FU7" s="164"/>
      <c r="FV7" s="164"/>
      <c r="FW7" s="164"/>
      <c r="FX7" s="164"/>
      <c r="FY7" s="164"/>
      <c r="FZ7" s="164"/>
      <c r="GA7" s="164"/>
      <c r="GB7" s="164"/>
      <c r="GC7" s="164"/>
      <c r="GD7" s="164"/>
      <c r="GE7" s="164"/>
      <c r="GF7" s="164"/>
      <c r="GG7" s="164"/>
      <c r="GH7" s="164"/>
      <c r="GI7" s="164"/>
      <c r="GJ7" s="164"/>
      <c r="GK7" s="164"/>
      <c r="GL7" s="164"/>
      <c r="GM7" s="164"/>
      <c r="GN7" s="164"/>
      <c r="GO7" s="164"/>
      <c r="GP7" s="164"/>
      <c r="GQ7" s="164"/>
      <c r="GR7" s="164"/>
      <c r="GS7" s="164"/>
      <c r="GT7" s="164"/>
      <c r="GU7" s="164"/>
      <c r="GV7" s="164"/>
      <c r="GW7" s="164"/>
      <c r="GX7" s="164"/>
      <c r="GY7" s="164"/>
      <c r="GZ7" s="164"/>
      <c r="HA7" s="164"/>
      <c r="HB7" s="164"/>
      <c r="HC7" s="164"/>
      <c r="HD7" s="164"/>
      <c r="HE7" s="164"/>
      <c r="HF7" s="164"/>
      <c r="HG7" s="164"/>
      <c r="HH7" s="164"/>
      <c r="HI7" s="164"/>
      <c r="HJ7" s="164"/>
      <c r="HK7" s="164"/>
      <c r="HL7" s="164"/>
      <c r="HM7" s="164"/>
      <c r="HN7" s="164"/>
      <c r="HO7" s="164"/>
      <c r="HP7" s="164"/>
      <c r="HQ7" s="164"/>
      <c r="HR7" s="164"/>
      <c r="HS7" s="164"/>
      <c r="HT7" s="164"/>
      <c r="HU7" s="164"/>
      <c r="HV7" s="164"/>
      <c r="HW7" s="164"/>
      <c r="HX7" s="164"/>
      <c r="HY7" s="164"/>
      <c r="HZ7" s="164"/>
      <c r="IA7" s="164"/>
      <c r="IB7" s="164"/>
      <c r="IC7" s="164"/>
    </row>
    <row r="8" spans="1:237" ht="15.75" x14ac:dyDescent="0.25">
      <c r="A8" s="189"/>
      <c r="B8" s="187"/>
      <c r="C8" s="187"/>
      <c r="D8" s="187"/>
      <c r="E8" s="187"/>
      <c r="F8" s="187"/>
      <c r="G8" s="187"/>
      <c r="H8" s="187"/>
      <c r="I8" s="187"/>
      <c r="J8" s="190"/>
      <c r="K8" s="188"/>
    </row>
    <row r="9" spans="1:237" ht="20.25" x14ac:dyDescent="0.2">
      <c r="A9" s="374" t="s">
        <v>148</v>
      </c>
      <c r="B9" s="375"/>
      <c r="C9" s="375"/>
      <c r="D9" s="375"/>
      <c r="E9" s="375"/>
      <c r="F9" s="375"/>
      <c r="G9" s="375"/>
      <c r="H9" s="375"/>
      <c r="I9" s="375"/>
      <c r="J9" s="375"/>
      <c r="K9" s="376"/>
    </row>
    <row r="10" spans="1:237" ht="20.25" x14ac:dyDescent="0.2">
      <c r="A10" s="374" t="s">
        <v>432</v>
      </c>
      <c r="B10" s="375"/>
      <c r="C10" s="375"/>
      <c r="D10" s="375"/>
      <c r="E10" s="375"/>
      <c r="F10" s="375"/>
      <c r="G10" s="375"/>
      <c r="H10" s="375"/>
      <c r="I10" s="375"/>
      <c r="J10" s="375"/>
      <c r="K10" s="376"/>
    </row>
    <row r="11" spans="1:237" ht="27.75" customHeight="1" thickBot="1" x14ac:dyDescent="0.3">
      <c r="A11" s="337"/>
      <c r="B11" s="353"/>
      <c r="C11" s="353"/>
      <c r="D11" s="353"/>
      <c r="E11" s="353"/>
      <c r="F11" s="353"/>
      <c r="G11" s="353"/>
      <c r="H11" s="353"/>
      <c r="I11" s="353"/>
      <c r="J11" s="353"/>
      <c r="K11" s="188"/>
    </row>
    <row r="12" spans="1:237" s="179" customFormat="1" ht="18.75" thickBot="1" x14ac:dyDescent="0.3">
      <c r="A12" s="383" t="s">
        <v>149</v>
      </c>
      <c r="B12" s="384"/>
      <c r="C12" s="384"/>
      <c r="D12" s="384"/>
      <c r="E12" s="384"/>
      <c r="F12" s="384"/>
      <c r="G12" s="384"/>
      <c r="H12" s="384"/>
      <c r="I12" s="384"/>
      <c r="J12" s="384"/>
      <c r="K12" s="385"/>
    </row>
    <row r="13" spans="1:237" ht="15.75" customHeight="1" x14ac:dyDescent="0.2">
      <c r="A13" s="304" t="s">
        <v>150</v>
      </c>
      <c r="B13" s="305"/>
      <c r="C13" s="305"/>
      <c r="D13" s="305"/>
      <c r="E13" s="305"/>
      <c r="F13" s="305"/>
      <c r="G13" s="305"/>
      <c r="H13" s="305"/>
      <c r="I13" s="215"/>
      <c r="J13" s="305" t="s">
        <v>151</v>
      </c>
      <c r="K13" s="306"/>
    </row>
    <row r="14" spans="1:237" ht="47.25" customHeight="1" x14ac:dyDescent="0.2">
      <c r="A14" s="304" t="s">
        <v>152</v>
      </c>
      <c r="B14" s="305"/>
      <c r="C14" s="305"/>
      <c r="D14" s="305"/>
      <c r="E14" s="305"/>
      <c r="F14" s="305"/>
      <c r="G14" s="305"/>
      <c r="H14" s="305"/>
      <c r="I14" s="191"/>
      <c r="J14" s="307" t="s">
        <v>153</v>
      </c>
      <c r="K14" s="308"/>
    </row>
    <row r="15" spans="1:237" ht="15.75" x14ac:dyDescent="0.25">
      <c r="A15" s="348" t="s">
        <v>154</v>
      </c>
      <c r="B15" s="349"/>
      <c r="C15" s="349"/>
      <c r="D15" s="349"/>
      <c r="E15" s="349"/>
      <c r="F15" s="349"/>
      <c r="G15" s="349"/>
      <c r="H15" s="349"/>
      <c r="I15" s="192"/>
      <c r="J15" s="190"/>
      <c r="K15" s="188"/>
    </row>
    <row r="16" spans="1:237" ht="81" customHeight="1" x14ac:dyDescent="0.2">
      <c r="A16" s="350" t="s">
        <v>438</v>
      </c>
      <c r="B16" s="351"/>
      <c r="C16" s="351"/>
      <c r="D16" s="351"/>
      <c r="E16" s="351"/>
      <c r="F16" s="351"/>
      <c r="G16" s="351"/>
      <c r="H16" s="351"/>
      <c r="I16" s="351"/>
      <c r="J16" s="351"/>
      <c r="K16" s="352"/>
    </row>
    <row r="17" spans="1:257" ht="6.75" customHeight="1" thickBot="1" x14ac:dyDescent="0.3">
      <c r="A17" s="337"/>
      <c r="B17" s="353"/>
      <c r="C17" s="353"/>
      <c r="D17" s="353"/>
      <c r="E17" s="353"/>
      <c r="F17" s="353"/>
      <c r="G17" s="353"/>
      <c r="H17" s="353"/>
      <c r="I17" s="186"/>
      <c r="J17" s="353"/>
      <c r="K17" s="354"/>
      <c r="IM17" s="165"/>
      <c r="IN17" s="165"/>
      <c r="IO17" s="165"/>
      <c r="IP17" s="165"/>
      <c r="IQ17" s="165"/>
      <c r="IR17" s="165"/>
      <c r="IS17" s="165"/>
      <c r="IT17" s="165"/>
      <c r="IU17" s="165"/>
      <c r="IV17" s="165"/>
      <c r="IW17" s="165"/>
    </row>
    <row r="18" spans="1:257" s="1" customFormat="1" ht="30" customHeight="1" thickBot="1" x14ac:dyDescent="0.25">
      <c r="A18" s="297" t="s">
        <v>178</v>
      </c>
      <c r="B18" s="298"/>
      <c r="C18" s="299"/>
      <c r="D18" s="299"/>
      <c r="E18" s="299"/>
      <c r="F18" s="299"/>
      <c r="G18" s="299"/>
      <c r="H18" s="299"/>
      <c r="I18" s="299"/>
      <c r="J18" s="299"/>
      <c r="K18" s="300"/>
    </row>
    <row r="19" spans="1:257" s="1" customFormat="1" ht="27.75" customHeight="1" thickBot="1" x14ac:dyDescent="0.25">
      <c r="A19" s="361" t="s">
        <v>10</v>
      </c>
      <c r="B19" s="362"/>
      <c r="C19" s="386" t="s">
        <v>5</v>
      </c>
      <c r="D19" s="387"/>
      <c r="E19" s="216" t="s">
        <v>181</v>
      </c>
      <c r="F19" s="210" t="s">
        <v>124</v>
      </c>
      <c r="G19" s="210" t="s">
        <v>237</v>
      </c>
      <c r="H19" s="210" t="s">
        <v>179</v>
      </c>
      <c r="I19" s="210" t="s">
        <v>125</v>
      </c>
      <c r="J19" s="210" t="s">
        <v>6</v>
      </c>
      <c r="K19" s="210" t="s">
        <v>7</v>
      </c>
    </row>
    <row r="20" spans="1:257" s="1" customFormat="1" ht="15" customHeight="1" thickBot="1" x14ac:dyDescent="0.25">
      <c r="A20" s="301">
        <v>1</v>
      </c>
      <c r="B20" s="303"/>
      <c r="C20" s="309" t="s">
        <v>180</v>
      </c>
      <c r="D20" s="310"/>
      <c r="E20" s="288" t="s">
        <v>182</v>
      </c>
      <c r="F20" s="289">
        <v>1</v>
      </c>
      <c r="G20" s="289">
        <v>1</v>
      </c>
      <c r="H20" s="290">
        <f>'Planilha de Custos'!C126</f>
        <v>8892.08</v>
      </c>
      <c r="I20" s="290">
        <f>H20*1</f>
        <v>8892.08</v>
      </c>
      <c r="J20" s="291">
        <f>F20*I20</f>
        <v>8892.08</v>
      </c>
      <c r="K20" s="291">
        <f>J20*12</f>
        <v>106704.95999999999</v>
      </c>
    </row>
    <row r="21" spans="1:257" s="1" customFormat="1" ht="15" customHeight="1" thickBot="1" x14ac:dyDescent="0.25">
      <c r="A21" s="301">
        <v>2</v>
      </c>
      <c r="B21" s="303"/>
      <c r="C21" s="309" t="s">
        <v>183</v>
      </c>
      <c r="D21" s="310"/>
      <c r="E21" s="288" t="s">
        <v>184</v>
      </c>
      <c r="F21" s="289">
        <v>10</v>
      </c>
      <c r="G21" s="289">
        <f>F21*2</f>
        <v>20</v>
      </c>
      <c r="H21" s="290">
        <f>'Planilha de Custos'!D126</f>
        <v>7174.47</v>
      </c>
      <c r="I21" s="290">
        <f>H21*2</f>
        <v>14348.94</v>
      </c>
      <c r="J21" s="291">
        <f>F21*I21</f>
        <v>143489.4</v>
      </c>
      <c r="K21" s="291">
        <f>J21*12</f>
        <v>1721872.7999999998</v>
      </c>
    </row>
    <row r="22" spans="1:257" s="1" customFormat="1" ht="15" customHeight="1" thickBot="1" x14ac:dyDescent="0.25">
      <c r="A22" s="301">
        <v>3</v>
      </c>
      <c r="B22" s="303"/>
      <c r="C22" s="309" t="s">
        <v>183</v>
      </c>
      <c r="D22" s="310"/>
      <c r="E22" s="288" t="s">
        <v>185</v>
      </c>
      <c r="F22" s="289">
        <v>11</v>
      </c>
      <c r="G22" s="289">
        <f>F22*2</f>
        <v>22</v>
      </c>
      <c r="H22" s="290">
        <f>'Planilha de Custos'!E126</f>
        <v>7858.25</v>
      </c>
      <c r="I22" s="290">
        <f>H22*2</f>
        <v>15716.5</v>
      </c>
      <c r="J22" s="291">
        <f>F22*I22</f>
        <v>172881.5</v>
      </c>
      <c r="K22" s="291">
        <f>J22*12</f>
        <v>2074578</v>
      </c>
    </row>
    <row r="23" spans="1:257" s="1" customFormat="1" ht="15" customHeight="1" thickBot="1" x14ac:dyDescent="0.25">
      <c r="A23" s="301">
        <v>4</v>
      </c>
      <c r="B23" s="303"/>
      <c r="C23" s="309" t="s">
        <v>186</v>
      </c>
      <c r="D23" s="310"/>
      <c r="E23" s="288" t="s">
        <v>185</v>
      </c>
      <c r="F23" s="289">
        <v>1</v>
      </c>
      <c r="G23" s="289">
        <f>F23*2</f>
        <v>2</v>
      </c>
      <c r="H23" s="290">
        <f>'Planilha de Custos'!F126</f>
        <v>8892.3700000000008</v>
      </c>
      <c r="I23" s="290">
        <f>H23*2</f>
        <v>17784.740000000002</v>
      </c>
      <c r="J23" s="291">
        <f>F23*I23</f>
        <v>17784.740000000002</v>
      </c>
      <c r="K23" s="291">
        <f>J23*12</f>
        <v>213416.88</v>
      </c>
    </row>
    <row r="24" spans="1:257" s="1" customFormat="1" ht="15" customHeight="1" thickBot="1" x14ac:dyDescent="0.25">
      <c r="A24" s="295">
        <v>5</v>
      </c>
      <c r="B24" s="296"/>
      <c r="C24" s="311" t="s">
        <v>187</v>
      </c>
      <c r="D24" s="312"/>
      <c r="E24" s="284" t="s">
        <v>184</v>
      </c>
      <c r="F24" s="285">
        <v>1</v>
      </c>
      <c r="G24" s="285">
        <f>F24*2</f>
        <v>2</v>
      </c>
      <c r="H24" s="286">
        <f>'Planilha de Custos'!G126</f>
        <v>7174.47</v>
      </c>
      <c r="I24" s="286">
        <f>H24*2</f>
        <v>14348.94</v>
      </c>
      <c r="J24" s="287">
        <f>F24*I24</f>
        <v>14348.94</v>
      </c>
      <c r="K24" s="287">
        <f>J24*12</f>
        <v>172187.28</v>
      </c>
    </row>
    <row r="25" spans="1:257" s="1" customFormat="1" ht="15" customHeight="1" thickBot="1" x14ac:dyDescent="0.25">
      <c r="A25" s="301" t="s">
        <v>126</v>
      </c>
      <c r="B25" s="302"/>
      <c r="C25" s="302"/>
      <c r="D25" s="302"/>
      <c r="E25" s="303"/>
      <c r="F25" s="205">
        <f>SUM(F20:F24)</f>
        <v>24</v>
      </c>
      <c r="G25" s="205">
        <f>SUM(G20:G24)</f>
        <v>47</v>
      </c>
      <c r="H25" s="206"/>
      <c r="I25" s="207"/>
      <c r="J25" s="208">
        <f>SUM(J20:J24)</f>
        <v>357396.66</v>
      </c>
      <c r="K25" s="209">
        <f>SUM(K20:K24)</f>
        <v>4288759.92</v>
      </c>
    </row>
    <row r="26" spans="1:257" ht="15.75" thickBot="1" x14ac:dyDescent="0.25">
      <c r="A26" s="355" t="s">
        <v>155</v>
      </c>
      <c r="B26" s="356"/>
      <c r="C26" s="356"/>
      <c r="D26" s="356"/>
      <c r="E26" s="356"/>
      <c r="F26" s="356"/>
      <c r="G26" s="356"/>
      <c r="H26" s="356"/>
      <c r="I26" s="356"/>
      <c r="J26" s="357"/>
      <c r="K26" s="211">
        <f>Resumo!G17</f>
        <v>357396.66</v>
      </c>
      <c r="L26" s="276"/>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7"/>
      <c r="AL26" s="167"/>
      <c r="AM26" s="167"/>
      <c r="AN26" s="167"/>
      <c r="AO26" s="167"/>
      <c r="AP26" s="167"/>
      <c r="AQ26" s="167"/>
      <c r="AR26" s="167"/>
      <c r="AS26" s="167"/>
      <c r="AT26" s="167"/>
      <c r="AU26" s="167"/>
      <c r="AV26" s="167"/>
      <c r="AW26" s="167"/>
      <c r="AX26" s="167"/>
      <c r="AY26" s="167"/>
      <c r="AZ26" s="167"/>
      <c r="BA26" s="167"/>
      <c r="BB26" s="167"/>
      <c r="BC26" s="167"/>
      <c r="BD26" s="167"/>
      <c r="BE26" s="167"/>
      <c r="BF26" s="167"/>
      <c r="BG26" s="167"/>
      <c r="BH26" s="167"/>
      <c r="BI26" s="167"/>
      <c r="BJ26" s="167"/>
      <c r="BK26" s="167"/>
      <c r="BL26" s="167"/>
      <c r="BM26" s="167"/>
      <c r="BN26" s="167"/>
      <c r="BO26" s="167"/>
      <c r="BP26" s="167"/>
      <c r="BQ26" s="167"/>
      <c r="BR26" s="167"/>
      <c r="BS26" s="167"/>
      <c r="BT26" s="167"/>
      <c r="BU26" s="167"/>
      <c r="BV26" s="167"/>
      <c r="BW26" s="167"/>
      <c r="BX26" s="167"/>
      <c r="BY26" s="167"/>
      <c r="BZ26" s="167"/>
      <c r="CA26" s="167"/>
      <c r="CB26" s="167"/>
      <c r="CC26" s="167"/>
      <c r="CD26" s="167"/>
      <c r="CE26" s="167"/>
      <c r="CF26" s="167"/>
      <c r="CG26" s="167"/>
      <c r="CH26" s="167"/>
      <c r="CI26" s="167"/>
      <c r="CJ26" s="167"/>
      <c r="CK26" s="167"/>
      <c r="CL26" s="167"/>
      <c r="CM26" s="167"/>
      <c r="CN26" s="167"/>
      <c r="CO26" s="167"/>
      <c r="CP26" s="167"/>
      <c r="CQ26" s="167"/>
      <c r="CR26" s="167"/>
      <c r="CS26" s="167"/>
      <c r="CT26" s="167"/>
      <c r="CU26" s="167"/>
      <c r="CV26" s="167"/>
      <c r="CW26" s="167"/>
      <c r="CX26" s="167"/>
      <c r="CY26" s="167"/>
      <c r="CZ26" s="167"/>
      <c r="DA26" s="167"/>
      <c r="DB26" s="167"/>
      <c r="DC26" s="167"/>
      <c r="DD26" s="167"/>
      <c r="DE26" s="167"/>
      <c r="DF26" s="167"/>
      <c r="DG26" s="167"/>
      <c r="DH26" s="167"/>
      <c r="DI26" s="167"/>
      <c r="DJ26" s="167"/>
      <c r="DK26" s="167"/>
      <c r="DL26" s="167"/>
      <c r="DM26" s="167"/>
      <c r="DN26" s="167"/>
      <c r="DO26" s="167"/>
      <c r="DP26" s="167"/>
      <c r="DQ26" s="167"/>
      <c r="DR26" s="167"/>
      <c r="DS26" s="167"/>
      <c r="DT26" s="167"/>
      <c r="DU26" s="167"/>
      <c r="DV26" s="167"/>
      <c r="DW26" s="167"/>
      <c r="DX26" s="167"/>
      <c r="DY26" s="167"/>
      <c r="DZ26" s="167"/>
      <c r="EA26" s="167"/>
      <c r="EB26" s="167"/>
      <c r="EC26" s="167"/>
      <c r="ED26" s="167"/>
      <c r="EE26" s="167"/>
      <c r="EF26" s="167"/>
      <c r="EG26" s="167"/>
      <c r="EH26" s="167"/>
      <c r="EI26" s="167"/>
      <c r="EJ26" s="167"/>
      <c r="EK26" s="167"/>
      <c r="EL26" s="167"/>
      <c r="EM26" s="167"/>
      <c r="EN26" s="167"/>
      <c r="EO26" s="167"/>
      <c r="EP26" s="167"/>
      <c r="EQ26" s="167"/>
      <c r="ER26" s="167"/>
      <c r="ES26" s="167"/>
      <c r="ET26" s="167"/>
      <c r="EU26" s="167"/>
      <c r="EV26" s="167"/>
      <c r="EW26" s="167"/>
      <c r="EX26" s="167"/>
      <c r="EY26" s="167"/>
      <c r="EZ26" s="167"/>
      <c r="FA26" s="167"/>
      <c r="FB26" s="167"/>
      <c r="FC26" s="167"/>
      <c r="FD26" s="167"/>
      <c r="FE26" s="167"/>
      <c r="FF26" s="167"/>
      <c r="FG26" s="167"/>
      <c r="FH26" s="167"/>
      <c r="FI26" s="167"/>
      <c r="FJ26" s="167"/>
      <c r="FK26" s="167"/>
      <c r="FL26" s="167"/>
      <c r="FM26" s="167"/>
      <c r="FN26" s="167"/>
      <c r="FO26" s="167"/>
      <c r="FP26" s="167"/>
      <c r="FQ26" s="167"/>
      <c r="FR26" s="167"/>
      <c r="FS26" s="167"/>
      <c r="FT26" s="167"/>
      <c r="FU26" s="167"/>
      <c r="FV26" s="167"/>
      <c r="FW26" s="167"/>
      <c r="FX26" s="167"/>
      <c r="FY26" s="167"/>
      <c r="FZ26" s="167"/>
      <c r="GA26" s="167"/>
      <c r="GB26" s="167"/>
      <c r="GC26" s="167"/>
      <c r="GD26" s="167"/>
      <c r="GE26" s="167"/>
      <c r="GF26" s="167"/>
      <c r="GG26" s="167"/>
      <c r="GH26" s="167"/>
      <c r="GI26" s="167"/>
      <c r="GJ26" s="167"/>
      <c r="GK26" s="167"/>
      <c r="GL26" s="167"/>
      <c r="GM26" s="167"/>
      <c r="GN26" s="167"/>
      <c r="GO26" s="167"/>
      <c r="GP26" s="167"/>
      <c r="GQ26" s="167"/>
      <c r="GR26" s="167"/>
      <c r="GS26" s="167"/>
      <c r="GT26" s="167"/>
      <c r="GU26" s="167"/>
      <c r="GV26" s="167"/>
      <c r="GW26" s="167"/>
      <c r="GX26" s="167"/>
      <c r="GY26" s="167"/>
      <c r="GZ26" s="167"/>
      <c r="HA26" s="167"/>
      <c r="HB26" s="167"/>
      <c r="HC26" s="167"/>
      <c r="HD26" s="167"/>
      <c r="HE26" s="167"/>
      <c r="HF26" s="167"/>
      <c r="HG26" s="167"/>
      <c r="HH26" s="167"/>
      <c r="HI26" s="167"/>
      <c r="HJ26" s="167"/>
      <c r="HK26" s="167"/>
      <c r="HL26" s="167"/>
      <c r="HM26" s="167"/>
      <c r="HN26" s="167"/>
      <c r="HO26" s="167"/>
      <c r="HP26" s="167"/>
      <c r="HQ26" s="167"/>
      <c r="HR26" s="167"/>
      <c r="HS26" s="167"/>
      <c r="HT26" s="167"/>
      <c r="HU26" s="167"/>
      <c r="HV26" s="167"/>
      <c r="HW26" s="167"/>
      <c r="HX26" s="167"/>
      <c r="HY26" s="167"/>
      <c r="HZ26" s="167"/>
      <c r="IA26" s="167"/>
      <c r="IB26" s="167"/>
      <c r="IC26" s="167"/>
      <c r="ID26" s="167"/>
      <c r="IE26" s="167"/>
      <c r="IF26" s="167"/>
      <c r="IG26" s="167"/>
      <c r="IH26" s="167"/>
      <c r="II26" s="167"/>
      <c r="IJ26" s="167"/>
      <c r="IK26" s="167"/>
      <c r="IL26" s="167"/>
      <c r="IM26" s="166"/>
      <c r="IN26" s="166"/>
      <c r="IO26" s="166"/>
      <c r="IP26" s="166"/>
      <c r="IQ26" s="166"/>
      <c r="IR26" s="166"/>
      <c r="IS26" s="166"/>
      <c r="IT26" s="166"/>
      <c r="IU26" s="166"/>
      <c r="IV26" s="166"/>
      <c r="IW26" s="166"/>
    </row>
    <row r="27" spans="1:257" ht="15.75" thickBot="1" x14ac:dyDescent="0.25">
      <c r="A27" s="345" t="s">
        <v>443</v>
      </c>
      <c r="B27" s="346"/>
      <c r="C27" s="346"/>
      <c r="D27" s="346"/>
      <c r="E27" s="346"/>
      <c r="F27" s="346"/>
      <c r="G27" s="346"/>
      <c r="H27" s="346"/>
      <c r="I27" s="346"/>
      <c r="J27" s="346"/>
      <c r="K27" s="347"/>
      <c r="L27" s="283"/>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c r="BB27" s="166"/>
      <c r="BC27" s="166"/>
      <c r="BD27" s="166"/>
      <c r="BE27" s="166"/>
      <c r="BF27" s="166"/>
      <c r="BG27" s="166"/>
      <c r="BH27" s="166"/>
      <c r="BI27" s="166"/>
      <c r="BJ27" s="166"/>
      <c r="BK27" s="166"/>
      <c r="BL27" s="166"/>
      <c r="BM27" s="166"/>
      <c r="BN27" s="166"/>
      <c r="BO27" s="166"/>
      <c r="BP27" s="166"/>
      <c r="BQ27" s="166"/>
      <c r="BR27" s="166"/>
      <c r="BS27" s="166"/>
      <c r="BT27" s="166"/>
      <c r="BU27" s="166"/>
      <c r="BV27" s="166"/>
      <c r="BW27" s="166"/>
      <c r="BX27" s="166"/>
      <c r="BY27" s="166"/>
      <c r="BZ27" s="166"/>
      <c r="CA27" s="166"/>
      <c r="CB27" s="166"/>
      <c r="CC27" s="166"/>
      <c r="CD27" s="166"/>
      <c r="CE27" s="166"/>
      <c r="CF27" s="166"/>
      <c r="CG27" s="166"/>
      <c r="CH27" s="166"/>
      <c r="CI27" s="166"/>
      <c r="CJ27" s="166"/>
      <c r="CK27" s="166"/>
      <c r="CL27" s="166"/>
      <c r="CM27" s="166"/>
      <c r="CN27" s="166"/>
      <c r="CO27" s="166"/>
      <c r="CP27" s="166"/>
      <c r="CQ27" s="166"/>
      <c r="CR27" s="166"/>
      <c r="CS27" s="166"/>
      <c r="CT27" s="166"/>
      <c r="CU27" s="166"/>
      <c r="CV27" s="166"/>
      <c r="CW27" s="166"/>
      <c r="CX27" s="166"/>
      <c r="CY27" s="166"/>
      <c r="CZ27" s="166"/>
      <c r="DA27" s="166"/>
      <c r="DB27" s="166"/>
      <c r="DC27" s="166"/>
      <c r="DD27" s="166"/>
      <c r="DE27" s="166"/>
      <c r="DF27" s="166"/>
      <c r="DG27" s="166"/>
      <c r="DH27" s="166"/>
      <c r="DI27" s="166"/>
      <c r="DJ27" s="166"/>
      <c r="DK27" s="166"/>
      <c r="DL27" s="166"/>
      <c r="DM27" s="166"/>
      <c r="DN27" s="166"/>
      <c r="DO27" s="166"/>
      <c r="DP27" s="166"/>
      <c r="DQ27" s="166"/>
      <c r="DR27" s="166"/>
      <c r="DS27" s="166"/>
      <c r="DT27" s="166"/>
      <c r="DU27" s="166"/>
      <c r="DV27" s="166"/>
      <c r="DW27" s="166"/>
      <c r="DX27" s="166"/>
      <c r="DY27" s="166"/>
      <c r="DZ27" s="166"/>
      <c r="EA27" s="166"/>
      <c r="EB27" s="166"/>
      <c r="EC27" s="166"/>
      <c r="ED27" s="166"/>
      <c r="EE27" s="166"/>
      <c r="EF27" s="166"/>
      <c r="EG27" s="166"/>
      <c r="EH27" s="166"/>
      <c r="EI27" s="166"/>
      <c r="EJ27" s="166"/>
      <c r="EK27" s="166"/>
      <c r="EL27" s="166"/>
      <c r="EM27" s="166"/>
      <c r="EN27" s="166"/>
      <c r="EO27" s="166"/>
      <c r="EP27" s="166"/>
      <c r="EQ27" s="166"/>
      <c r="ER27" s="166"/>
      <c r="ES27" s="166"/>
      <c r="ET27" s="166"/>
      <c r="EU27" s="166"/>
      <c r="EV27" s="166"/>
      <c r="EW27" s="166"/>
      <c r="EX27" s="166"/>
      <c r="EY27" s="166"/>
      <c r="EZ27" s="166"/>
      <c r="FA27" s="166"/>
      <c r="FB27" s="166"/>
      <c r="FC27" s="166"/>
      <c r="FD27" s="166"/>
      <c r="FE27" s="166"/>
      <c r="FF27" s="166"/>
      <c r="FG27" s="166"/>
      <c r="FH27" s="166"/>
      <c r="FI27" s="166"/>
      <c r="FJ27" s="166"/>
      <c r="FK27" s="166"/>
      <c r="FL27" s="166"/>
      <c r="FM27" s="166"/>
      <c r="FN27" s="166"/>
      <c r="FO27" s="166"/>
      <c r="FP27" s="166"/>
      <c r="FQ27" s="166"/>
      <c r="FR27" s="166"/>
      <c r="FS27" s="166"/>
      <c r="FT27" s="166"/>
      <c r="FU27" s="166"/>
      <c r="FV27" s="166"/>
      <c r="FW27" s="166"/>
      <c r="FX27" s="166"/>
      <c r="FY27" s="166"/>
      <c r="FZ27" s="166"/>
      <c r="GA27" s="166"/>
      <c r="GB27" s="166"/>
      <c r="GC27" s="166"/>
      <c r="GD27" s="166"/>
      <c r="GE27" s="166"/>
      <c r="GF27" s="166"/>
      <c r="GG27" s="166"/>
      <c r="GH27" s="166"/>
      <c r="GI27" s="166"/>
      <c r="GJ27" s="166"/>
      <c r="GK27" s="166"/>
      <c r="GL27" s="166"/>
      <c r="GM27" s="166"/>
      <c r="GN27" s="166"/>
      <c r="GO27" s="166"/>
      <c r="GP27" s="166"/>
      <c r="GQ27" s="166"/>
      <c r="GR27" s="166"/>
      <c r="GS27" s="166"/>
      <c r="GT27" s="166"/>
      <c r="GU27" s="166"/>
      <c r="GV27" s="166"/>
      <c r="GW27" s="166"/>
      <c r="GX27" s="166"/>
      <c r="GY27" s="166"/>
      <c r="GZ27" s="166"/>
      <c r="HA27" s="166"/>
      <c r="HB27" s="166"/>
      <c r="HC27" s="166"/>
      <c r="HD27" s="166"/>
      <c r="HE27" s="166"/>
      <c r="HF27" s="166"/>
      <c r="HG27" s="166"/>
      <c r="HH27" s="166"/>
      <c r="HI27" s="166"/>
      <c r="HJ27" s="166"/>
      <c r="HK27" s="166"/>
      <c r="HL27" s="166"/>
      <c r="HM27" s="166"/>
      <c r="HN27" s="166"/>
      <c r="HO27" s="166"/>
      <c r="HP27" s="166"/>
      <c r="HQ27" s="166"/>
      <c r="HR27" s="166"/>
      <c r="HS27" s="166"/>
      <c r="HT27" s="166"/>
      <c r="HU27" s="166"/>
      <c r="HV27" s="166"/>
      <c r="HW27" s="166"/>
      <c r="HX27" s="166"/>
      <c r="HY27" s="166"/>
      <c r="HZ27" s="166"/>
      <c r="IA27" s="166"/>
      <c r="IB27" s="166"/>
      <c r="IC27" s="166"/>
      <c r="ID27" s="166"/>
      <c r="IE27" s="166"/>
      <c r="IF27" s="166"/>
      <c r="IG27" s="166"/>
      <c r="IH27" s="166"/>
      <c r="II27" s="166"/>
      <c r="IJ27" s="166"/>
      <c r="IK27" s="166"/>
      <c r="IL27" s="166"/>
      <c r="IM27" s="166"/>
      <c r="IN27" s="166"/>
      <c r="IO27" s="166"/>
      <c r="IP27" s="166"/>
      <c r="IQ27" s="166"/>
      <c r="IR27" s="166"/>
      <c r="IS27" s="166"/>
      <c r="IT27" s="166"/>
      <c r="IU27" s="166"/>
      <c r="IV27" s="166"/>
      <c r="IW27" s="166"/>
    </row>
    <row r="28" spans="1:257" ht="8.25" customHeight="1" thickBot="1" x14ac:dyDescent="0.3">
      <c r="A28" s="292"/>
      <c r="B28" s="293"/>
      <c r="C28" s="293"/>
      <c r="D28" s="293"/>
      <c r="E28" s="293"/>
      <c r="F28" s="293"/>
      <c r="G28" s="293"/>
      <c r="H28" s="293"/>
      <c r="I28" s="293"/>
      <c r="J28" s="293"/>
      <c r="K28" s="294"/>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c r="BB28" s="166"/>
      <c r="BC28" s="166"/>
      <c r="BD28" s="166"/>
      <c r="BE28" s="166"/>
      <c r="BF28" s="166"/>
      <c r="BG28" s="166"/>
      <c r="BH28" s="166"/>
      <c r="BI28" s="166"/>
      <c r="BJ28" s="166"/>
      <c r="BK28" s="166"/>
      <c r="BL28" s="166"/>
      <c r="BM28" s="166"/>
      <c r="BN28" s="166"/>
      <c r="BO28" s="166"/>
      <c r="BP28" s="166"/>
      <c r="BQ28" s="166"/>
      <c r="BR28" s="166"/>
      <c r="BS28" s="166"/>
      <c r="BT28" s="166"/>
      <c r="BU28" s="166"/>
      <c r="BV28" s="166"/>
      <c r="BW28" s="166"/>
      <c r="BX28" s="166"/>
      <c r="BY28" s="166"/>
      <c r="BZ28" s="166"/>
      <c r="CA28" s="166"/>
      <c r="CB28" s="166"/>
      <c r="CC28" s="166"/>
      <c r="CD28" s="166"/>
      <c r="CE28" s="166"/>
      <c r="CF28" s="166"/>
      <c r="CG28" s="166"/>
      <c r="CH28" s="166"/>
      <c r="CI28" s="166"/>
      <c r="CJ28" s="166"/>
      <c r="CK28" s="166"/>
      <c r="CL28" s="166"/>
      <c r="CM28" s="166"/>
      <c r="CN28" s="166"/>
      <c r="CO28" s="166"/>
      <c r="CP28" s="166"/>
      <c r="CQ28" s="166"/>
      <c r="CR28" s="166"/>
      <c r="CS28" s="166"/>
      <c r="CT28" s="166"/>
      <c r="CU28" s="166"/>
      <c r="CV28" s="166"/>
      <c r="CW28" s="166"/>
      <c r="CX28" s="166"/>
      <c r="CY28" s="166"/>
      <c r="CZ28" s="166"/>
      <c r="DA28" s="166"/>
      <c r="DB28" s="166"/>
      <c r="DC28" s="166"/>
      <c r="DD28" s="166"/>
      <c r="DE28" s="166"/>
      <c r="DF28" s="166"/>
      <c r="DG28" s="166"/>
      <c r="DH28" s="166"/>
      <c r="DI28" s="166"/>
      <c r="DJ28" s="166"/>
      <c r="DK28" s="166"/>
      <c r="DL28" s="166"/>
      <c r="DM28" s="166"/>
      <c r="DN28" s="166"/>
      <c r="DO28" s="166"/>
      <c r="DP28" s="166"/>
      <c r="DQ28" s="166"/>
      <c r="DR28" s="166"/>
      <c r="DS28" s="166"/>
      <c r="DT28" s="166"/>
      <c r="DU28" s="166"/>
      <c r="DV28" s="166"/>
      <c r="DW28" s="166"/>
      <c r="DX28" s="166"/>
      <c r="DY28" s="166"/>
      <c r="DZ28" s="166"/>
      <c r="EA28" s="166"/>
      <c r="EB28" s="166"/>
      <c r="EC28" s="166"/>
      <c r="ED28" s="166"/>
      <c r="EE28" s="166"/>
      <c r="EF28" s="166"/>
      <c r="EG28" s="166"/>
      <c r="EH28" s="166"/>
      <c r="EI28" s="166"/>
      <c r="EJ28" s="166"/>
      <c r="EK28" s="166"/>
      <c r="EL28" s="166"/>
      <c r="EM28" s="166"/>
      <c r="EN28" s="166"/>
      <c r="EO28" s="166"/>
      <c r="EP28" s="166"/>
      <c r="EQ28" s="166"/>
      <c r="ER28" s="166"/>
      <c r="ES28" s="166"/>
      <c r="ET28" s="166"/>
      <c r="EU28" s="166"/>
      <c r="EV28" s="166"/>
      <c r="EW28" s="166"/>
      <c r="EX28" s="166"/>
      <c r="EY28" s="166"/>
      <c r="EZ28" s="166"/>
      <c r="FA28" s="166"/>
      <c r="FB28" s="166"/>
      <c r="FC28" s="166"/>
      <c r="FD28" s="166"/>
      <c r="FE28" s="166"/>
      <c r="FF28" s="166"/>
      <c r="FG28" s="166"/>
      <c r="FH28" s="166"/>
      <c r="FI28" s="166"/>
      <c r="FJ28" s="166"/>
      <c r="FK28" s="166"/>
      <c r="FL28" s="166"/>
      <c r="FM28" s="166"/>
      <c r="FN28" s="166"/>
      <c r="FO28" s="166"/>
      <c r="FP28" s="166"/>
      <c r="FQ28" s="166"/>
      <c r="FR28" s="166"/>
      <c r="FS28" s="166"/>
      <c r="FT28" s="166"/>
      <c r="FU28" s="166"/>
      <c r="FV28" s="166"/>
      <c r="FW28" s="166"/>
      <c r="FX28" s="166"/>
      <c r="FY28" s="166"/>
      <c r="FZ28" s="166"/>
      <c r="GA28" s="166"/>
      <c r="GB28" s="166"/>
      <c r="GC28" s="166"/>
      <c r="GD28" s="166"/>
      <c r="GE28" s="166"/>
      <c r="GF28" s="166"/>
      <c r="GG28" s="166"/>
      <c r="GH28" s="166"/>
      <c r="GI28" s="166"/>
      <c r="GJ28" s="166"/>
      <c r="GK28" s="166"/>
      <c r="GL28" s="166"/>
      <c r="GM28" s="166"/>
      <c r="GN28" s="166"/>
      <c r="GO28" s="166"/>
      <c r="GP28" s="166"/>
      <c r="GQ28" s="166"/>
      <c r="GR28" s="166"/>
      <c r="GS28" s="166"/>
      <c r="GT28" s="166"/>
      <c r="GU28" s="166"/>
      <c r="GV28" s="166"/>
      <c r="GW28" s="166"/>
      <c r="GX28" s="166"/>
      <c r="GY28" s="166"/>
      <c r="GZ28" s="166"/>
      <c r="HA28" s="166"/>
      <c r="HB28" s="166"/>
      <c r="HC28" s="166"/>
      <c r="HD28" s="166"/>
      <c r="HE28" s="166"/>
      <c r="HF28" s="166"/>
      <c r="HG28" s="166"/>
      <c r="HH28" s="166"/>
      <c r="HI28" s="166"/>
      <c r="HJ28" s="166"/>
      <c r="HK28" s="166"/>
      <c r="HL28" s="166"/>
      <c r="HM28" s="166"/>
      <c r="HN28" s="166"/>
      <c r="HO28" s="166"/>
      <c r="HP28" s="166"/>
      <c r="HQ28" s="166"/>
      <c r="HR28" s="166"/>
      <c r="HS28" s="166"/>
      <c r="HT28" s="166"/>
      <c r="HU28" s="166"/>
      <c r="HV28" s="166"/>
      <c r="HW28" s="166"/>
      <c r="HX28" s="166"/>
      <c r="HY28" s="166"/>
      <c r="HZ28" s="166"/>
      <c r="IA28" s="166"/>
      <c r="IB28" s="166"/>
      <c r="IC28" s="166"/>
      <c r="ID28" s="166"/>
      <c r="IE28" s="166"/>
      <c r="IF28" s="166"/>
      <c r="IG28" s="166"/>
      <c r="IH28" s="166"/>
      <c r="II28" s="166"/>
      <c r="IJ28" s="166"/>
      <c r="IK28" s="166"/>
      <c r="IL28" s="166"/>
      <c r="IM28" s="166"/>
      <c r="IN28" s="166"/>
      <c r="IO28" s="166"/>
      <c r="IP28" s="166"/>
      <c r="IQ28" s="166"/>
      <c r="IR28" s="166"/>
      <c r="IS28" s="166"/>
      <c r="IT28" s="166"/>
      <c r="IU28" s="166"/>
      <c r="IV28" s="166"/>
      <c r="IW28" s="166"/>
    </row>
    <row r="29" spans="1:257" ht="15.75" thickBot="1" x14ac:dyDescent="0.25">
      <c r="A29" s="358" t="s">
        <v>156</v>
      </c>
      <c r="B29" s="359"/>
      <c r="C29" s="359"/>
      <c r="D29" s="359"/>
      <c r="E29" s="359"/>
      <c r="F29" s="359"/>
      <c r="G29" s="359"/>
      <c r="H29" s="359"/>
      <c r="I29" s="359"/>
      <c r="J29" s="360"/>
      <c r="K29" s="212">
        <f>Resumo!H17</f>
        <v>4288759.92</v>
      </c>
      <c r="L29" s="612"/>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c r="BB29" s="166"/>
      <c r="BC29" s="166"/>
      <c r="BD29" s="166"/>
      <c r="BE29" s="166"/>
      <c r="BF29" s="166"/>
      <c r="BG29" s="166"/>
      <c r="BH29" s="166"/>
      <c r="BI29" s="166"/>
      <c r="BJ29" s="166"/>
      <c r="BK29" s="166"/>
      <c r="BL29" s="166"/>
      <c r="BM29" s="166"/>
      <c r="BN29" s="166"/>
      <c r="BO29" s="166"/>
      <c r="BP29" s="166"/>
      <c r="BQ29" s="166"/>
      <c r="BR29" s="166"/>
      <c r="BS29" s="166"/>
      <c r="BT29" s="166"/>
      <c r="BU29" s="166"/>
      <c r="BV29" s="166"/>
      <c r="BW29" s="166"/>
      <c r="BX29" s="166"/>
      <c r="BY29" s="166"/>
      <c r="BZ29" s="166"/>
      <c r="CA29" s="166"/>
      <c r="CB29" s="166"/>
      <c r="CC29" s="166"/>
      <c r="CD29" s="166"/>
      <c r="CE29" s="166"/>
      <c r="CF29" s="166"/>
      <c r="CG29" s="166"/>
      <c r="CH29" s="166"/>
      <c r="CI29" s="166"/>
      <c r="CJ29" s="166"/>
      <c r="CK29" s="166"/>
      <c r="CL29" s="166"/>
      <c r="CM29" s="166"/>
      <c r="CN29" s="166"/>
      <c r="CO29" s="166"/>
      <c r="CP29" s="166"/>
      <c r="CQ29" s="166"/>
      <c r="CR29" s="166"/>
      <c r="CS29" s="166"/>
      <c r="CT29" s="166"/>
      <c r="CU29" s="166"/>
      <c r="CV29" s="166"/>
      <c r="CW29" s="166"/>
      <c r="CX29" s="166"/>
      <c r="CY29" s="166"/>
      <c r="CZ29" s="166"/>
      <c r="DA29" s="166"/>
      <c r="DB29" s="166"/>
      <c r="DC29" s="166"/>
      <c r="DD29" s="166"/>
      <c r="DE29" s="166"/>
      <c r="DF29" s="166"/>
      <c r="DG29" s="166"/>
      <c r="DH29" s="166"/>
      <c r="DI29" s="166"/>
      <c r="DJ29" s="166"/>
      <c r="DK29" s="166"/>
      <c r="DL29" s="166"/>
      <c r="DM29" s="166"/>
      <c r="DN29" s="166"/>
      <c r="DO29" s="166"/>
      <c r="DP29" s="166"/>
      <c r="DQ29" s="166"/>
      <c r="DR29" s="166"/>
      <c r="DS29" s="166"/>
      <c r="DT29" s="166"/>
      <c r="DU29" s="166"/>
      <c r="DV29" s="166"/>
      <c r="DW29" s="166"/>
      <c r="DX29" s="166"/>
      <c r="DY29" s="166"/>
      <c r="DZ29" s="166"/>
      <c r="EA29" s="166"/>
      <c r="EB29" s="166"/>
      <c r="EC29" s="166"/>
      <c r="ED29" s="166"/>
      <c r="EE29" s="166"/>
      <c r="EF29" s="166"/>
      <c r="EG29" s="166"/>
      <c r="EH29" s="166"/>
      <c r="EI29" s="166"/>
      <c r="EJ29" s="166"/>
      <c r="EK29" s="166"/>
      <c r="EL29" s="166"/>
      <c r="EM29" s="166"/>
      <c r="EN29" s="166"/>
      <c r="EO29" s="166"/>
      <c r="EP29" s="166"/>
      <c r="EQ29" s="166"/>
      <c r="ER29" s="166"/>
      <c r="ES29" s="166"/>
      <c r="ET29" s="166"/>
      <c r="EU29" s="166"/>
      <c r="EV29" s="166"/>
      <c r="EW29" s="166"/>
      <c r="EX29" s="166"/>
      <c r="EY29" s="166"/>
      <c r="EZ29" s="166"/>
      <c r="FA29" s="166"/>
      <c r="FB29" s="166"/>
      <c r="FC29" s="166"/>
      <c r="FD29" s="166"/>
      <c r="FE29" s="166"/>
      <c r="FF29" s="166"/>
      <c r="FG29" s="166"/>
      <c r="FH29" s="166"/>
      <c r="FI29" s="166"/>
      <c r="FJ29" s="166"/>
      <c r="FK29" s="166"/>
      <c r="FL29" s="166"/>
      <c r="FM29" s="166"/>
      <c r="FN29" s="166"/>
      <c r="FO29" s="166"/>
      <c r="FP29" s="166"/>
      <c r="FQ29" s="166"/>
      <c r="FR29" s="166"/>
      <c r="FS29" s="166"/>
      <c r="FT29" s="166"/>
      <c r="FU29" s="166"/>
      <c r="FV29" s="166"/>
      <c r="FW29" s="166"/>
      <c r="FX29" s="166"/>
      <c r="FY29" s="166"/>
      <c r="FZ29" s="166"/>
      <c r="GA29" s="166"/>
      <c r="GB29" s="166"/>
      <c r="GC29" s="166"/>
      <c r="GD29" s="166"/>
      <c r="GE29" s="166"/>
      <c r="GF29" s="166"/>
      <c r="GG29" s="166"/>
      <c r="GH29" s="166"/>
      <c r="GI29" s="166"/>
      <c r="GJ29" s="166"/>
      <c r="GK29" s="166"/>
      <c r="GL29" s="166"/>
      <c r="GM29" s="166"/>
      <c r="GN29" s="166"/>
      <c r="GO29" s="166"/>
      <c r="GP29" s="166"/>
      <c r="GQ29" s="166"/>
      <c r="GR29" s="166"/>
      <c r="GS29" s="166"/>
      <c r="GT29" s="166"/>
      <c r="GU29" s="166"/>
      <c r="GV29" s="166"/>
      <c r="GW29" s="166"/>
      <c r="GX29" s="166"/>
      <c r="GY29" s="166"/>
      <c r="GZ29" s="166"/>
      <c r="HA29" s="166"/>
      <c r="HB29" s="166"/>
      <c r="HC29" s="166"/>
      <c r="HD29" s="166"/>
      <c r="HE29" s="166"/>
      <c r="HF29" s="166"/>
      <c r="HG29" s="166"/>
      <c r="HH29" s="166"/>
      <c r="HI29" s="166"/>
      <c r="HJ29" s="166"/>
      <c r="HK29" s="166"/>
      <c r="HL29" s="166"/>
      <c r="HM29" s="166"/>
      <c r="HN29" s="166"/>
      <c r="HO29" s="166"/>
      <c r="HP29" s="166"/>
      <c r="HQ29" s="166"/>
      <c r="HR29" s="166"/>
      <c r="HS29" s="166"/>
      <c r="HT29" s="166"/>
      <c r="HU29" s="166"/>
      <c r="HV29" s="166"/>
      <c r="HW29" s="166"/>
      <c r="HX29" s="166"/>
      <c r="HY29" s="166"/>
      <c r="HZ29" s="166"/>
      <c r="IA29" s="166"/>
      <c r="IB29" s="166"/>
      <c r="IC29" s="166"/>
      <c r="ID29" s="166"/>
      <c r="IE29" s="166"/>
      <c r="IF29" s="166"/>
      <c r="IG29" s="166"/>
      <c r="IH29" s="166"/>
      <c r="II29" s="166"/>
      <c r="IJ29" s="166"/>
      <c r="IK29" s="166"/>
      <c r="IL29" s="166"/>
      <c r="IM29" s="166"/>
      <c r="IN29" s="166"/>
      <c r="IO29" s="166"/>
      <c r="IP29" s="166"/>
      <c r="IQ29" s="166"/>
      <c r="IR29" s="166"/>
      <c r="IS29" s="166"/>
      <c r="IT29" s="166"/>
      <c r="IU29" s="166"/>
      <c r="IV29" s="166"/>
      <c r="IW29" s="166"/>
    </row>
    <row r="30" spans="1:257" ht="15.75" thickBot="1" x14ac:dyDescent="0.25">
      <c r="A30" s="345" t="s">
        <v>444</v>
      </c>
      <c r="B30" s="346"/>
      <c r="C30" s="346"/>
      <c r="D30" s="346"/>
      <c r="E30" s="346"/>
      <c r="F30" s="346"/>
      <c r="G30" s="346"/>
      <c r="H30" s="346"/>
      <c r="I30" s="346"/>
      <c r="J30" s="346"/>
      <c r="K30" s="347"/>
      <c r="L30" s="612"/>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c r="BB30" s="166"/>
      <c r="BC30" s="166"/>
      <c r="BD30" s="166"/>
      <c r="BE30" s="166"/>
      <c r="BF30" s="166"/>
      <c r="BG30" s="166"/>
      <c r="BH30" s="166"/>
      <c r="BI30" s="166"/>
      <c r="BJ30" s="166"/>
      <c r="BK30" s="166"/>
      <c r="BL30" s="166"/>
      <c r="BM30" s="166"/>
      <c r="BN30" s="166"/>
      <c r="BO30" s="166"/>
      <c r="BP30" s="166"/>
      <c r="BQ30" s="166"/>
      <c r="BR30" s="166"/>
      <c r="BS30" s="166"/>
      <c r="BT30" s="166"/>
      <c r="BU30" s="166"/>
      <c r="BV30" s="166"/>
      <c r="BW30" s="166"/>
      <c r="BX30" s="166"/>
      <c r="BY30" s="166"/>
      <c r="BZ30" s="166"/>
      <c r="CA30" s="166"/>
      <c r="CB30" s="166"/>
      <c r="CC30" s="166"/>
      <c r="CD30" s="166"/>
      <c r="CE30" s="166"/>
      <c r="CF30" s="166"/>
      <c r="CG30" s="166"/>
      <c r="CH30" s="166"/>
      <c r="CI30" s="166"/>
      <c r="CJ30" s="166"/>
      <c r="CK30" s="166"/>
      <c r="CL30" s="166"/>
      <c r="CM30" s="166"/>
      <c r="CN30" s="166"/>
      <c r="CO30" s="166"/>
      <c r="CP30" s="166"/>
      <c r="CQ30" s="166"/>
      <c r="CR30" s="166"/>
      <c r="CS30" s="166"/>
      <c r="CT30" s="166"/>
      <c r="CU30" s="166"/>
      <c r="CV30" s="166"/>
      <c r="CW30" s="166"/>
      <c r="CX30" s="166"/>
      <c r="CY30" s="166"/>
      <c r="CZ30" s="166"/>
      <c r="DA30" s="166"/>
      <c r="DB30" s="166"/>
      <c r="DC30" s="166"/>
      <c r="DD30" s="166"/>
      <c r="DE30" s="166"/>
      <c r="DF30" s="166"/>
      <c r="DG30" s="166"/>
      <c r="DH30" s="166"/>
      <c r="DI30" s="166"/>
      <c r="DJ30" s="166"/>
      <c r="DK30" s="166"/>
      <c r="DL30" s="166"/>
      <c r="DM30" s="166"/>
      <c r="DN30" s="166"/>
      <c r="DO30" s="166"/>
      <c r="DP30" s="166"/>
      <c r="DQ30" s="166"/>
      <c r="DR30" s="166"/>
      <c r="DS30" s="166"/>
      <c r="DT30" s="166"/>
      <c r="DU30" s="166"/>
      <c r="DV30" s="166"/>
      <c r="DW30" s="166"/>
      <c r="DX30" s="166"/>
      <c r="DY30" s="166"/>
      <c r="DZ30" s="166"/>
      <c r="EA30" s="166"/>
      <c r="EB30" s="166"/>
      <c r="EC30" s="166"/>
      <c r="ED30" s="166"/>
      <c r="EE30" s="166"/>
      <c r="EF30" s="166"/>
      <c r="EG30" s="166"/>
      <c r="EH30" s="166"/>
      <c r="EI30" s="166"/>
      <c r="EJ30" s="166"/>
      <c r="EK30" s="166"/>
      <c r="EL30" s="166"/>
      <c r="EM30" s="166"/>
      <c r="EN30" s="166"/>
      <c r="EO30" s="166"/>
      <c r="EP30" s="166"/>
      <c r="EQ30" s="166"/>
      <c r="ER30" s="166"/>
      <c r="ES30" s="166"/>
      <c r="ET30" s="166"/>
      <c r="EU30" s="166"/>
      <c r="EV30" s="166"/>
      <c r="EW30" s="166"/>
      <c r="EX30" s="166"/>
      <c r="EY30" s="166"/>
      <c r="EZ30" s="166"/>
      <c r="FA30" s="166"/>
      <c r="FB30" s="166"/>
      <c r="FC30" s="166"/>
      <c r="FD30" s="166"/>
      <c r="FE30" s="166"/>
      <c r="FF30" s="166"/>
      <c r="FG30" s="166"/>
      <c r="FH30" s="166"/>
      <c r="FI30" s="166"/>
      <c r="FJ30" s="166"/>
      <c r="FK30" s="166"/>
      <c r="FL30" s="166"/>
      <c r="FM30" s="166"/>
      <c r="FN30" s="166"/>
      <c r="FO30" s="166"/>
      <c r="FP30" s="166"/>
      <c r="FQ30" s="166"/>
      <c r="FR30" s="166"/>
      <c r="FS30" s="166"/>
      <c r="FT30" s="166"/>
      <c r="FU30" s="166"/>
      <c r="FV30" s="166"/>
      <c r="FW30" s="166"/>
      <c r="FX30" s="166"/>
      <c r="FY30" s="166"/>
      <c r="FZ30" s="166"/>
      <c r="GA30" s="166"/>
      <c r="GB30" s="166"/>
      <c r="GC30" s="166"/>
      <c r="GD30" s="166"/>
      <c r="GE30" s="166"/>
      <c r="GF30" s="166"/>
      <c r="GG30" s="166"/>
      <c r="GH30" s="166"/>
      <c r="GI30" s="166"/>
      <c r="GJ30" s="166"/>
      <c r="GK30" s="166"/>
      <c r="GL30" s="166"/>
      <c r="GM30" s="166"/>
      <c r="GN30" s="166"/>
      <c r="GO30" s="166"/>
      <c r="GP30" s="166"/>
      <c r="GQ30" s="166"/>
      <c r="GR30" s="166"/>
      <c r="GS30" s="166"/>
      <c r="GT30" s="166"/>
      <c r="GU30" s="166"/>
      <c r="GV30" s="166"/>
      <c r="GW30" s="166"/>
      <c r="GX30" s="166"/>
      <c r="GY30" s="166"/>
      <c r="GZ30" s="166"/>
      <c r="HA30" s="166"/>
      <c r="HB30" s="166"/>
      <c r="HC30" s="166"/>
      <c r="HD30" s="166"/>
      <c r="HE30" s="166"/>
      <c r="HF30" s="166"/>
      <c r="HG30" s="166"/>
      <c r="HH30" s="166"/>
      <c r="HI30" s="166"/>
      <c r="HJ30" s="166"/>
      <c r="HK30" s="166"/>
      <c r="HL30" s="166"/>
      <c r="HM30" s="166"/>
      <c r="HN30" s="166"/>
      <c r="HO30" s="166"/>
      <c r="HP30" s="166"/>
      <c r="HQ30" s="166"/>
      <c r="HR30" s="166"/>
      <c r="HS30" s="166"/>
      <c r="HT30" s="166"/>
      <c r="HU30" s="166"/>
      <c r="HV30" s="166"/>
      <c r="HW30" s="166"/>
      <c r="HX30" s="166"/>
      <c r="HY30" s="166"/>
      <c r="HZ30" s="166"/>
      <c r="IA30" s="166"/>
      <c r="IB30" s="166"/>
      <c r="IC30" s="166"/>
      <c r="ID30" s="166"/>
      <c r="IE30" s="166"/>
      <c r="IF30" s="166"/>
      <c r="IG30" s="166"/>
      <c r="IH30" s="166"/>
      <c r="II30" s="166"/>
      <c r="IJ30" s="166"/>
      <c r="IK30" s="166"/>
      <c r="IL30" s="166"/>
      <c r="IM30" s="166"/>
      <c r="IN30" s="166"/>
      <c r="IO30" s="166"/>
      <c r="IP30" s="166"/>
      <c r="IQ30" s="166"/>
      <c r="IR30" s="166"/>
      <c r="IS30" s="166"/>
      <c r="IT30" s="166"/>
      <c r="IU30" s="166"/>
      <c r="IV30" s="166"/>
      <c r="IW30" s="166"/>
    </row>
    <row r="31" spans="1:257" ht="9" customHeight="1" thickBot="1" x14ac:dyDescent="0.3">
      <c r="A31" s="292"/>
      <c r="B31" s="293"/>
      <c r="C31" s="293"/>
      <c r="D31" s="293"/>
      <c r="E31" s="293"/>
      <c r="F31" s="293"/>
      <c r="G31" s="293"/>
      <c r="H31" s="293"/>
      <c r="I31" s="293"/>
      <c r="J31" s="293"/>
      <c r="K31" s="294"/>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6"/>
      <c r="BF31" s="166"/>
      <c r="BG31" s="166"/>
      <c r="BH31" s="166"/>
      <c r="BI31" s="166"/>
      <c r="BJ31" s="166"/>
      <c r="BK31" s="166"/>
      <c r="BL31" s="166"/>
      <c r="BM31" s="166"/>
      <c r="BN31" s="166"/>
      <c r="BO31" s="166"/>
      <c r="BP31" s="166"/>
      <c r="BQ31" s="166"/>
      <c r="BR31" s="166"/>
      <c r="BS31" s="166"/>
      <c r="BT31" s="166"/>
      <c r="BU31" s="166"/>
      <c r="BV31" s="166"/>
      <c r="BW31" s="166"/>
      <c r="BX31" s="166"/>
      <c r="BY31" s="166"/>
      <c r="BZ31" s="166"/>
      <c r="CA31" s="166"/>
      <c r="CB31" s="166"/>
      <c r="CC31" s="166"/>
      <c r="CD31" s="166"/>
      <c r="CE31" s="166"/>
      <c r="CF31" s="166"/>
      <c r="CG31" s="166"/>
      <c r="CH31" s="166"/>
      <c r="CI31" s="166"/>
      <c r="CJ31" s="166"/>
      <c r="CK31" s="166"/>
      <c r="CL31" s="166"/>
      <c r="CM31" s="166"/>
      <c r="CN31" s="166"/>
      <c r="CO31" s="166"/>
      <c r="CP31" s="166"/>
      <c r="CQ31" s="166"/>
      <c r="CR31" s="166"/>
      <c r="CS31" s="166"/>
      <c r="CT31" s="166"/>
      <c r="CU31" s="166"/>
      <c r="CV31" s="166"/>
      <c r="CW31" s="166"/>
      <c r="CX31" s="166"/>
      <c r="CY31" s="166"/>
      <c r="CZ31" s="166"/>
      <c r="DA31" s="166"/>
      <c r="DB31" s="166"/>
      <c r="DC31" s="166"/>
      <c r="DD31" s="166"/>
      <c r="DE31" s="166"/>
      <c r="DF31" s="166"/>
      <c r="DG31" s="166"/>
      <c r="DH31" s="166"/>
      <c r="DI31" s="166"/>
      <c r="DJ31" s="166"/>
      <c r="DK31" s="166"/>
      <c r="DL31" s="166"/>
      <c r="DM31" s="166"/>
      <c r="DN31" s="166"/>
      <c r="DO31" s="166"/>
      <c r="DP31" s="166"/>
      <c r="DQ31" s="166"/>
      <c r="DR31" s="166"/>
      <c r="DS31" s="166"/>
      <c r="DT31" s="166"/>
      <c r="DU31" s="166"/>
      <c r="DV31" s="166"/>
      <c r="DW31" s="166"/>
      <c r="DX31" s="166"/>
      <c r="DY31" s="166"/>
      <c r="DZ31" s="166"/>
      <c r="EA31" s="166"/>
      <c r="EB31" s="166"/>
      <c r="EC31" s="166"/>
      <c r="ED31" s="166"/>
      <c r="EE31" s="166"/>
      <c r="EF31" s="166"/>
      <c r="EG31" s="166"/>
      <c r="EH31" s="166"/>
      <c r="EI31" s="166"/>
      <c r="EJ31" s="166"/>
      <c r="EK31" s="166"/>
      <c r="EL31" s="166"/>
      <c r="EM31" s="166"/>
      <c r="EN31" s="166"/>
      <c r="EO31" s="166"/>
      <c r="EP31" s="166"/>
      <c r="EQ31" s="166"/>
      <c r="ER31" s="166"/>
      <c r="ES31" s="166"/>
      <c r="ET31" s="166"/>
      <c r="EU31" s="166"/>
      <c r="EV31" s="166"/>
      <c r="EW31" s="166"/>
      <c r="EX31" s="166"/>
      <c r="EY31" s="166"/>
      <c r="EZ31" s="166"/>
      <c r="FA31" s="166"/>
      <c r="FB31" s="166"/>
      <c r="FC31" s="166"/>
      <c r="FD31" s="166"/>
      <c r="FE31" s="166"/>
      <c r="FF31" s="166"/>
      <c r="FG31" s="166"/>
      <c r="FH31" s="166"/>
      <c r="FI31" s="166"/>
      <c r="FJ31" s="166"/>
      <c r="FK31" s="166"/>
      <c r="FL31" s="166"/>
      <c r="FM31" s="166"/>
      <c r="FN31" s="166"/>
      <c r="FO31" s="166"/>
      <c r="FP31" s="166"/>
      <c r="FQ31" s="166"/>
      <c r="FR31" s="166"/>
      <c r="FS31" s="166"/>
      <c r="FT31" s="166"/>
      <c r="FU31" s="166"/>
      <c r="FV31" s="166"/>
      <c r="FW31" s="166"/>
      <c r="FX31" s="166"/>
      <c r="FY31" s="166"/>
      <c r="FZ31" s="166"/>
      <c r="GA31" s="166"/>
      <c r="GB31" s="166"/>
      <c r="GC31" s="166"/>
      <c r="GD31" s="166"/>
      <c r="GE31" s="166"/>
      <c r="GF31" s="166"/>
      <c r="GG31" s="166"/>
      <c r="GH31" s="166"/>
      <c r="GI31" s="166"/>
      <c r="GJ31" s="166"/>
      <c r="GK31" s="166"/>
      <c r="GL31" s="166"/>
      <c r="GM31" s="166"/>
      <c r="GN31" s="166"/>
      <c r="GO31" s="166"/>
      <c r="GP31" s="166"/>
      <c r="GQ31" s="166"/>
      <c r="GR31" s="166"/>
      <c r="GS31" s="166"/>
      <c r="GT31" s="166"/>
      <c r="GU31" s="166"/>
      <c r="GV31" s="166"/>
      <c r="GW31" s="166"/>
      <c r="GX31" s="166"/>
      <c r="GY31" s="166"/>
      <c r="GZ31" s="166"/>
      <c r="HA31" s="166"/>
      <c r="HB31" s="166"/>
      <c r="HC31" s="166"/>
      <c r="HD31" s="166"/>
      <c r="HE31" s="166"/>
      <c r="HF31" s="166"/>
      <c r="HG31" s="166"/>
      <c r="HH31" s="166"/>
      <c r="HI31" s="166"/>
      <c r="HJ31" s="166"/>
      <c r="HK31" s="166"/>
      <c r="HL31" s="166"/>
      <c r="HM31" s="166"/>
      <c r="HN31" s="166"/>
      <c r="HO31" s="166"/>
      <c r="HP31" s="166"/>
      <c r="HQ31" s="166"/>
      <c r="HR31" s="166"/>
      <c r="HS31" s="166"/>
      <c r="HT31" s="166"/>
      <c r="HU31" s="166"/>
      <c r="HV31" s="166"/>
      <c r="HW31" s="166"/>
      <c r="HX31" s="166"/>
      <c r="HY31" s="166"/>
      <c r="HZ31" s="166"/>
      <c r="IA31" s="166"/>
      <c r="IB31" s="166"/>
      <c r="IC31" s="166"/>
      <c r="ID31" s="166"/>
      <c r="IE31" s="166"/>
      <c r="IF31" s="166"/>
      <c r="IG31" s="166"/>
      <c r="IH31" s="166"/>
      <c r="II31" s="166"/>
      <c r="IJ31" s="166"/>
      <c r="IK31" s="166"/>
      <c r="IL31" s="166"/>
      <c r="IM31" s="166"/>
      <c r="IN31" s="166"/>
      <c r="IO31" s="166"/>
      <c r="IP31" s="166"/>
      <c r="IQ31" s="166"/>
      <c r="IR31" s="166"/>
      <c r="IS31" s="166"/>
      <c r="IT31" s="166"/>
      <c r="IU31" s="166"/>
      <c r="IV31" s="166"/>
      <c r="IW31" s="166"/>
    </row>
    <row r="32" spans="1:257" ht="15.75" x14ac:dyDescent="0.2">
      <c r="A32" s="363" t="s">
        <v>157</v>
      </c>
      <c r="B32" s="364"/>
      <c r="C32" s="364"/>
      <c r="D32" s="364"/>
      <c r="E32" s="364"/>
      <c r="F32" s="364"/>
      <c r="G32" s="364"/>
      <c r="H32" s="364"/>
      <c r="I32" s="364"/>
      <c r="J32" s="364"/>
      <c r="K32" s="365"/>
      <c r="IM32" s="165"/>
      <c r="IN32" s="165"/>
      <c r="IO32" s="165"/>
      <c r="IP32" s="165"/>
      <c r="IQ32" s="165"/>
      <c r="IR32" s="165"/>
      <c r="IS32" s="165"/>
      <c r="IT32" s="165"/>
      <c r="IU32" s="165"/>
      <c r="IV32" s="165"/>
      <c r="IW32" s="165"/>
    </row>
    <row r="33" spans="1:257" ht="16.5" thickBot="1" x14ac:dyDescent="0.25">
      <c r="A33" s="366" t="s">
        <v>158</v>
      </c>
      <c r="B33" s="367"/>
      <c r="C33" s="367"/>
      <c r="D33" s="367"/>
      <c r="E33" s="367"/>
      <c r="F33" s="367"/>
      <c r="G33" s="367"/>
      <c r="H33" s="367"/>
      <c r="I33" s="367"/>
      <c r="J33" s="367"/>
      <c r="K33" s="368"/>
      <c r="IM33" s="165"/>
      <c r="IN33" s="165"/>
      <c r="IO33" s="165"/>
      <c r="IP33" s="165"/>
      <c r="IQ33" s="165"/>
      <c r="IR33" s="165"/>
      <c r="IS33" s="165"/>
      <c r="IT33" s="165"/>
      <c r="IU33" s="165"/>
      <c r="IV33" s="165"/>
      <c r="IW33" s="165"/>
    </row>
    <row r="34" spans="1:257" ht="16.5" thickBot="1" x14ac:dyDescent="0.25">
      <c r="A34" s="194"/>
      <c r="B34" s="195"/>
      <c r="C34" s="195"/>
      <c r="D34" s="195"/>
      <c r="E34" s="195"/>
      <c r="F34" s="195"/>
      <c r="G34" s="195"/>
      <c r="H34" s="195"/>
      <c r="I34" s="195"/>
      <c r="J34" s="195"/>
      <c r="K34" s="196"/>
      <c r="IM34" s="165"/>
      <c r="IN34" s="165"/>
      <c r="IO34" s="165"/>
      <c r="IP34" s="165"/>
      <c r="IQ34" s="165"/>
      <c r="IR34" s="165"/>
      <c r="IS34" s="165"/>
      <c r="IT34" s="165"/>
      <c r="IU34" s="165"/>
      <c r="IV34" s="165"/>
      <c r="IW34" s="165"/>
    </row>
    <row r="35" spans="1:257" ht="15.75" x14ac:dyDescent="0.2">
      <c r="A35" s="369" t="s">
        <v>159</v>
      </c>
      <c r="B35" s="370"/>
      <c r="C35" s="370"/>
      <c r="D35" s="370"/>
      <c r="E35" s="370"/>
      <c r="F35" s="370"/>
      <c r="G35" s="370"/>
      <c r="H35" s="370"/>
      <c r="I35" s="370"/>
      <c r="J35" s="370"/>
      <c r="K35" s="371"/>
      <c r="IM35" s="165"/>
      <c r="IN35" s="165"/>
      <c r="IO35" s="165"/>
      <c r="IP35" s="165"/>
      <c r="IQ35" s="165"/>
      <c r="IR35" s="165"/>
      <c r="IS35" s="165"/>
      <c r="IT35" s="165"/>
      <c r="IU35" s="165"/>
      <c r="IV35" s="165"/>
      <c r="IW35" s="165"/>
    </row>
    <row r="36" spans="1:257" ht="15.75" x14ac:dyDescent="0.2">
      <c r="A36" s="372" t="s">
        <v>160</v>
      </c>
      <c r="B36" s="373"/>
      <c r="C36" s="373"/>
      <c r="D36" s="373"/>
      <c r="E36" s="373"/>
      <c r="F36" s="373"/>
      <c r="G36" s="373"/>
      <c r="H36" s="373"/>
      <c r="I36" s="373"/>
      <c r="J36" s="373"/>
      <c r="K36" s="197"/>
      <c r="IM36" s="165"/>
      <c r="IN36" s="165"/>
      <c r="IO36" s="165"/>
      <c r="IP36" s="165"/>
      <c r="IQ36" s="165"/>
      <c r="IR36" s="165"/>
      <c r="IS36" s="165"/>
      <c r="IT36" s="165"/>
      <c r="IU36" s="165"/>
      <c r="IV36" s="165"/>
      <c r="IW36" s="165"/>
    </row>
    <row r="37" spans="1:257" ht="15.75" x14ac:dyDescent="0.2">
      <c r="A37" s="304" t="s">
        <v>161</v>
      </c>
      <c r="B37" s="313"/>
      <c r="C37" s="313"/>
      <c r="D37" s="313"/>
      <c r="E37" s="313"/>
      <c r="F37" s="313"/>
      <c r="G37" s="313"/>
      <c r="H37" s="313"/>
      <c r="I37" s="313"/>
      <c r="J37" s="313"/>
      <c r="K37" s="197"/>
      <c r="IM37" s="165"/>
      <c r="IN37" s="165"/>
      <c r="IO37" s="165"/>
      <c r="IP37" s="165"/>
      <c r="IQ37" s="165"/>
      <c r="IR37" s="165"/>
      <c r="IS37" s="165"/>
      <c r="IT37" s="165"/>
      <c r="IU37" s="165"/>
      <c r="IV37" s="165"/>
      <c r="IW37" s="165"/>
    </row>
    <row r="38" spans="1:257" ht="15.75" x14ac:dyDescent="0.25">
      <c r="A38" s="304" t="s">
        <v>162</v>
      </c>
      <c r="B38" s="313"/>
      <c r="C38" s="313"/>
      <c r="D38" s="313"/>
      <c r="E38" s="313"/>
      <c r="F38" s="191"/>
      <c r="G38" s="191"/>
      <c r="H38" s="198"/>
      <c r="I38" s="198"/>
      <c r="J38" s="319" t="s">
        <v>163</v>
      </c>
      <c r="K38" s="320"/>
      <c r="IM38" s="165"/>
      <c r="IN38" s="165"/>
      <c r="IO38" s="165"/>
      <c r="IP38" s="165"/>
      <c r="IQ38" s="165"/>
      <c r="IR38" s="165"/>
      <c r="IS38" s="165"/>
      <c r="IT38" s="165"/>
      <c r="IU38" s="165"/>
      <c r="IV38" s="165"/>
      <c r="IW38" s="165"/>
    </row>
    <row r="39" spans="1:257" ht="15.75" x14ac:dyDescent="0.25">
      <c r="A39" s="304" t="s">
        <v>164</v>
      </c>
      <c r="B39" s="313"/>
      <c r="C39" s="313"/>
      <c r="D39" s="313"/>
      <c r="E39" s="313"/>
      <c r="F39" s="191"/>
      <c r="G39" s="191"/>
      <c r="H39" s="198"/>
      <c r="I39" s="198"/>
      <c r="J39" s="319" t="s">
        <v>165</v>
      </c>
      <c r="K39" s="320"/>
      <c r="IM39" s="165"/>
      <c r="IN39" s="165"/>
      <c r="IO39" s="165"/>
      <c r="IP39" s="165"/>
      <c r="IQ39" s="165"/>
      <c r="IR39" s="165"/>
      <c r="IS39" s="165"/>
      <c r="IT39" s="165"/>
      <c r="IU39" s="165"/>
      <c r="IV39" s="165"/>
      <c r="IW39" s="165"/>
    </row>
    <row r="40" spans="1:257" ht="15.75" x14ac:dyDescent="0.25">
      <c r="A40" s="304" t="s">
        <v>166</v>
      </c>
      <c r="B40" s="313"/>
      <c r="C40" s="313"/>
      <c r="D40" s="313"/>
      <c r="E40" s="313"/>
      <c r="F40" s="191"/>
      <c r="G40" s="191"/>
      <c r="H40" s="198"/>
      <c r="I40" s="198"/>
      <c r="J40" s="319" t="s">
        <v>167</v>
      </c>
      <c r="K40" s="320"/>
      <c r="IM40" s="165"/>
      <c r="IN40" s="165"/>
      <c r="IO40" s="165"/>
      <c r="IP40" s="165"/>
      <c r="IQ40" s="165"/>
      <c r="IR40" s="165"/>
      <c r="IS40" s="165"/>
      <c r="IT40" s="165"/>
      <c r="IU40" s="165"/>
      <c r="IV40" s="165"/>
      <c r="IW40" s="165"/>
    </row>
    <row r="41" spans="1:257" ht="16.5" thickBot="1" x14ac:dyDescent="0.3">
      <c r="A41" s="321" t="s">
        <v>168</v>
      </c>
      <c r="B41" s="322"/>
      <c r="C41" s="322"/>
      <c r="D41" s="322"/>
      <c r="E41" s="322"/>
      <c r="F41" s="213"/>
      <c r="G41" s="213"/>
      <c r="H41" s="214"/>
      <c r="I41" s="214"/>
      <c r="J41" s="323" t="s">
        <v>169</v>
      </c>
      <c r="K41" s="324"/>
      <c r="IM41" s="165"/>
      <c r="IN41" s="165"/>
      <c r="IO41" s="165"/>
      <c r="IP41" s="165"/>
      <c r="IQ41" s="165"/>
      <c r="IR41" s="165"/>
      <c r="IS41" s="165"/>
      <c r="IT41" s="165"/>
      <c r="IU41" s="165"/>
      <c r="IV41" s="165"/>
      <c r="IW41" s="165"/>
    </row>
    <row r="42" spans="1:257" ht="16.5" thickBot="1" x14ac:dyDescent="0.25">
      <c r="A42" s="325" t="s">
        <v>170</v>
      </c>
      <c r="B42" s="326"/>
      <c r="C42" s="326"/>
      <c r="D42" s="326"/>
      <c r="E42" s="326"/>
      <c r="F42" s="326"/>
      <c r="G42" s="326"/>
      <c r="H42" s="326"/>
      <c r="I42" s="326"/>
      <c r="J42" s="326"/>
      <c r="K42" s="327"/>
      <c r="IM42" s="165"/>
      <c r="IN42" s="165"/>
      <c r="IO42" s="165"/>
      <c r="IP42" s="165"/>
      <c r="IQ42" s="165"/>
      <c r="IR42" s="165"/>
      <c r="IS42" s="165"/>
      <c r="IT42" s="165"/>
      <c r="IU42" s="165"/>
      <c r="IV42" s="165"/>
      <c r="IW42" s="165"/>
    </row>
    <row r="43" spans="1:257" ht="38.25" customHeight="1" x14ac:dyDescent="0.2">
      <c r="A43" s="328" t="s">
        <v>437</v>
      </c>
      <c r="B43" s="329"/>
      <c r="C43" s="329"/>
      <c r="D43" s="329"/>
      <c r="E43" s="329"/>
      <c r="F43" s="329"/>
      <c r="G43" s="329"/>
      <c r="H43" s="329"/>
      <c r="I43" s="329"/>
      <c r="J43" s="329"/>
      <c r="K43" s="330"/>
      <c r="IM43" s="165"/>
      <c r="IN43" s="165"/>
      <c r="IO43" s="165"/>
      <c r="IP43" s="165"/>
      <c r="IQ43" s="165"/>
      <c r="IR43" s="165"/>
      <c r="IS43" s="165"/>
      <c r="IT43" s="165"/>
      <c r="IU43" s="165"/>
      <c r="IV43" s="165"/>
      <c r="IW43" s="165"/>
    </row>
    <row r="44" spans="1:257" ht="15.75" x14ac:dyDescent="0.2">
      <c r="A44" s="331" t="s">
        <v>176</v>
      </c>
      <c r="B44" s="332"/>
      <c r="C44" s="332"/>
      <c r="D44" s="332"/>
      <c r="E44" s="332"/>
      <c r="F44" s="332"/>
      <c r="G44" s="332"/>
      <c r="H44" s="332"/>
      <c r="I44" s="332"/>
      <c r="J44" s="332"/>
      <c r="K44" s="333"/>
      <c r="IM44" s="165"/>
      <c r="IN44" s="165"/>
      <c r="IO44" s="165"/>
      <c r="IP44" s="165"/>
      <c r="IQ44" s="165"/>
      <c r="IR44" s="165"/>
      <c r="IS44" s="165"/>
      <c r="IT44" s="165"/>
      <c r="IU44" s="165"/>
      <c r="IV44" s="165"/>
      <c r="IW44" s="165"/>
    </row>
    <row r="45" spans="1:257" ht="15.75" x14ac:dyDescent="0.2">
      <c r="A45" s="334" t="s">
        <v>177</v>
      </c>
      <c r="B45" s="335"/>
      <c r="C45" s="335"/>
      <c r="D45" s="335"/>
      <c r="E45" s="335"/>
      <c r="F45" s="335"/>
      <c r="G45" s="335"/>
      <c r="H45" s="335"/>
      <c r="I45" s="335"/>
      <c r="J45" s="335"/>
      <c r="K45" s="336"/>
      <c r="IM45" s="165"/>
      <c r="IN45" s="165"/>
      <c r="IO45" s="165"/>
      <c r="IP45" s="165"/>
      <c r="IQ45" s="165"/>
      <c r="IR45" s="165"/>
      <c r="IS45" s="165"/>
      <c r="IT45" s="165"/>
      <c r="IU45" s="165"/>
      <c r="IV45" s="165"/>
      <c r="IW45" s="165"/>
    </row>
    <row r="46" spans="1:257" ht="15.75" x14ac:dyDescent="0.25">
      <c r="A46" s="337"/>
      <c r="B46" s="338"/>
      <c r="C46" s="338"/>
      <c r="D46" s="338"/>
      <c r="E46" s="338"/>
      <c r="F46" s="338"/>
      <c r="G46" s="338"/>
      <c r="H46" s="338"/>
      <c r="I46" s="186"/>
      <c r="J46" s="190"/>
      <c r="K46" s="188"/>
      <c r="IM46" s="165"/>
      <c r="IN46" s="165"/>
      <c r="IO46" s="165"/>
      <c r="IP46" s="165"/>
      <c r="IQ46" s="165"/>
      <c r="IR46" s="165"/>
      <c r="IS46" s="165"/>
      <c r="IT46" s="165"/>
      <c r="IU46" s="165"/>
      <c r="IV46" s="165"/>
      <c r="IW46" s="165"/>
    </row>
    <row r="47" spans="1:257" ht="15.75" x14ac:dyDescent="0.25">
      <c r="A47" s="342" t="s">
        <v>442</v>
      </c>
      <c r="B47" s="343"/>
      <c r="C47" s="343"/>
      <c r="D47" s="343"/>
      <c r="E47" s="343"/>
      <c r="F47" s="343"/>
      <c r="G47" s="343"/>
      <c r="H47" s="343"/>
      <c r="I47" s="343"/>
      <c r="J47" s="343"/>
      <c r="K47" s="344"/>
      <c r="IM47" s="165"/>
      <c r="IN47" s="165"/>
      <c r="IO47" s="165"/>
      <c r="IP47" s="165"/>
      <c r="IQ47" s="165"/>
      <c r="IR47" s="165"/>
      <c r="IS47" s="165"/>
      <c r="IT47" s="165"/>
      <c r="IU47" s="165"/>
      <c r="IV47" s="165"/>
      <c r="IW47" s="165"/>
    </row>
    <row r="48" spans="1:257" ht="15.75" x14ac:dyDescent="0.25">
      <c r="A48" s="193"/>
      <c r="B48" s="180"/>
      <c r="C48" s="180"/>
      <c r="D48" s="180"/>
      <c r="E48" s="180"/>
      <c r="F48" s="180"/>
      <c r="G48" s="180"/>
      <c r="H48" s="180"/>
      <c r="I48" s="186"/>
      <c r="J48" s="190"/>
      <c r="K48" s="188"/>
      <c r="IM48" s="165"/>
      <c r="IN48" s="165"/>
      <c r="IO48" s="165"/>
      <c r="IP48" s="165"/>
      <c r="IQ48" s="165"/>
      <c r="IR48" s="165"/>
      <c r="IS48" s="165"/>
      <c r="IT48" s="165"/>
      <c r="IU48" s="165"/>
      <c r="IV48" s="165"/>
      <c r="IW48" s="165"/>
    </row>
    <row r="49" spans="1:257" ht="15.75" x14ac:dyDescent="0.25">
      <c r="A49" s="199"/>
      <c r="B49" s="200"/>
      <c r="C49" s="200"/>
      <c r="D49" s="200"/>
      <c r="E49" s="200"/>
      <c r="F49" s="200"/>
      <c r="G49" s="200"/>
      <c r="H49" s="200"/>
      <c r="I49" s="200"/>
      <c r="J49" s="200"/>
      <c r="K49" s="188"/>
      <c r="IM49" s="165"/>
      <c r="IN49" s="165"/>
      <c r="IO49" s="165"/>
      <c r="IP49" s="165"/>
      <c r="IQ49" s="165"/>
      <c r="IR49" s="165"/>
      <c r="IS49" s="165"/>
      <c r="IT49" s="165"/>
      <c r="IU49" s="165"/>
      <c r="IV49" s="165"/>
      <c r="IW49" s="165"/>
    </row>
    <row r="50" spans="1:257" ht="15.75" x14ac:dyDescent="0.25">
      <c r="A50" s="199"/>
      <c r="B50" s="200"/>
      <c r="C50" s="200"/>
      <c r="D50" s="200"/>
      <c r="E50" s="200"/>
      <c r="F50" s="200"/>
      <c r="G50" s="200"/>
      <c r="H50" s="200"/>
      <c r="I50" s="200"/>
      <c r="J50" s="200"/>
      <c r="K50" s="188"/>
      <c r="IM50" s="165"/>
      <c r="IN50" s="165"/>
      <c r="IO50" s="165"/>
      <c r="IP50" s="165"/>
      <c r="IQ50" s="165"/>
      <c r="IR50" s="165"/>
      <c r="IS50" s="165"/>
      <c r="IT50" s="165"/>
      <c r="IU50" s="165"/>
      <c r="IV50" s="165"/>
      <c r="IW50" s="165"/>
    </row>
    <row r="51" spans="1:257" ht="15.75" x14ac:dyDescent="0.25">
      <c r="A51" s="339" t="s">
        <v>171</v>
      </c>
      <c r="B51" s="340"/>
      <c r="C51" s="340"/>
      <c r="D51" s="340"/>
      <c r="E51" s="340"/>
      <c r="F51" s="340"/>
      <c r="G51" s="340"/>
      <c r="H51" s="340"/>
      <c r="I51" s="340"/>
      <c r="J51" s="340"/>
      <c r="K51" s="341"/>
      <c r="IM51" s="165"/>
      <c r="IN51" s="165"/>
      <c r="IO51" s="165"/>
      <c r="IP51" s="165"/>
      <c r="IQ51" s="165"/>
      <c r="IR51" s="165"/>
      <c r="IS51" s="165"/>
      <c r="IT51" s="165"/>
      <c r="IU51" s="165"/>
      <c r="IV51" s="165"/>
      <c r="IW51" s="165"/>
    </row>
    <row r="52" spans="1:257" x14ac:dyDescent="0.2">
      <c r="A52" s="316" t="s">
        <v>172</v>
      </c>
      <c r="B52" s="317"/>
      <c r="C52" s="317"/>
      <c r="D52" s="317"/>
      <c r="E52" s="317"/>
      <c r="F52" s="317"/>
      <c r="G52" s="317"/>
      <c r="H52" s="317"/>
      <c r="I52" s="317"/>
      <c r="J52" s="317"/>
      <c r="K52" s="318"/>
      <c r="IM52" s="165"/>
      <c r="IN52" s="165"/>
      <c r="IO52" s="165"/>
      <c r="IP52" s="165"/>
      <c r="IQ52" s="165"/>
      <c r="IR52" s="165"/>
      <c r="IS52" s="165"/>
      <c r="IT52" s="165"/>
      <c r="IU52" s="165"/>
      <c r="IV52" s="165"/>
      <c r="IW52" s="165"/>
    </row>
    <row r="53" spans="1:257" ht="16.5" thickBot="1" x14ac:dyDescent="0.3">
      <c r="A53" s="201"/>
      <c r="B53" s="202"/>
      <c r="C53" s="202"/>
      <c r="D53" s="202"/>
      <c r="E53" s="202"/>
      <c r="F53" s="202"/>
      <c r="G53" s="202"/>
      <c r="H53" s="202"/>
      <c r="I53" s="202"/>
      <c r="J53" s="203"/>
      <c r="K53" s="204"/>
    </row>
    <row r="54" spans="1:257" ht="15.75" x14ac:dyDescent="0.25">
      <c r="A54" s="162"/>
      <c r="B54" s="162"/>
      <c r="C54" s="162"/>
      <c r="D54" s="162"/>
      <c r="E54" s="162"/>
      <c r="F54" s="162"/>
      <c r="G54" s="162"/>
      <c r="H54" s="162"/>
      <c r="I54" s="162"/>
      <c r="J54" s="162"/>
      <c r="K54" s="162"/>
    </row>
  </sheetData>
  <mergeCells count="57">
    <mergeCell ref="A11:J11"/>
    <mergeCell ref="A12:K12"/>
    <mergeCell ref="A14:H14"/>
    <mergeCell ref="C20:D20"/>
    <mergeCell ref="C19:D19"/>
    <mergeCell ref="A10:K10"/>
    <mergeCell ref="A5:J5"/>
    <mergeCell ref="A6:J6"/>
    <mergeCell ref="A7:J7"/>
    <mergeCell ref="A9:K9"/>
    <mergeCell ref="A38:E38"/>
    <mergeCell ref="J38:K38"/>
    <mergeCell ref="A30:K30"/>
    <mergeCell ref="A15:H15"/>
    <mergeCell ref="A16:K16"/>
    <mergeCell ref="A17:H17"/>
    <mergeCell ref="J17:K17"/>
    <mergeCell ref="A26:J26"/>
    <mergeCell ref="A27:K27"/>
    <mergeCell ref="A29:J29"/>
    <mergeCell ref="A19:B19"/>
    <mergeCell ref="A20:B20"/>
    <mergeCell ref="A32:K32"/>
    <mergeCell ref="A33:K33"/>
    <mergeCell ref="A35:K35"/>
    <mergeCell ref="A36:J36"/>
    <mergeCell ref="A37:J37"/>
    <mergeCell ref="D2:K2"/>
    <mergeCell ref="A52:K52"/>
    <mergeCell ref="A40:E40"/>
    <mergeCell ref="J40:K40"/>
    <mergeCell ref="A41:E41"/>
    <mergeCell ref="J41:K41"/>
    <mergeCell ref="A42:K42"/>
    <mergeCell ref="A43:K43"/>
    <mergeCell ref="A44:K44"/>
    <mergeCell ref="A45:K45"/>
    <mergeCell ref="A46:H46"/>
    <mergeCell ref="A51:K51"/>
    <mergeCell ref="A47:K47"/>
    <mergeCell ref="A39:E39"/>
    <mergeCell ref="J39:K39"/>
    <mergeCell ref="A31:K31"/>
    <mergeCell ref="A24:B24"/>
    <mergeCell ref="A18:K18"/>
    <mergeCell ref="A25:E25"/>
    <mergeCell ref="A13:H13"/>
    <mergeCell ref="J13:K13"/>
    <mergeCell ref="J14:K14"/>
    <mergeCell ref="C23:D23"/>
    <mergeCell ref="A28:K28"/>
    <mergeCell ref="C21:D21"/>
    <mergeCell ref="C24:D24"/>
    <mergeCell ref="C22:D22"/>
    <mergeCell ref="A23:B23"/>
    <mergeCell ref="A21:B21"/>
    <mergeCell ref="A22:B22"/>
  </mergeCells>
  <printOptions horizontalCentered="1" verticalCentered="1"/>
  <pageMargins left="0.51181102362204722" right="0.51181102362204722" top="0.59055118110236227" bottom="0.59055118110236227" header="0.31496062992125984" footer="0.31496062992125984"/>
  <pageSetup paperSize="9" scale="59" fitToWidth="0" fitToHeight="0"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2"/>
  <sheetViews>
    <sheetView showGridLines="0" topLeftCell="A9" zoomScale="150" zoomScaleNormal="150" workbookViewId="0">
      <selection activeCell="H18" sqref="H18"/>
    </sheetView>
  </sheetViews>
  <sheetFormatPr defaultColWidth="8.28515625" defaultRowHeight="12.75" x14ac:dyDescent="0.2"/>
  <cols>
    <col min="1" max="1" width="7.140625" style="1" customWidth="1"/>
    <col min="2" max="2" width="35.42578125" style="1" customWidth="1"/>
    <col min="3" max="3" width="12.85546875" style="1" hidden="1" customWidth="1"/>
    <col min="4" max="4" width="16" style="1" customWidth="1"/>
    <col min="5" max="5" width="11.28515625" style="1" customWidth="1"/>
    <col min="6" max="6" width="14.5703125" style="1" customWidth="1"/>
    <col min="7" max="7" width="14.140625" style="1" customWidth="1"/>
    <col min="8" max="8" width="15.42578125" style="1" customWidth="1"/>
    <col min="9" max="9" width="11.28515625" style="1" bestFit="1" customWidth="1"/>
    <col min="10" max="10" width="14.42578125" style="1" customWidth="1"/>
    <col min="11" max="16384" width="8.28515625" style="1"/>
  </cols>
  <sheetData>
    <row r="1" spans="1:9" s="142" customFormat="1" ht="28.9" customHeight="1" x14ac:dyDescent="0.2">
      <c r="A1" s="388" t="s">
        <v>122</v>
      </c>
      <c r="B1" s="388"/>
      <c r="C1" s="388"/>
      <c r="D1" s="388"/>
      <c r="E1" s="388"/>
      <c r="F1" s="388"/>
      <c r="G1" s="388"/>
      <c r="H1" s="388"/>
    </row>
    <row r="2" spans="1:9" x14ac:dyDescent="0.2">
      <c r="A2" s="389" t="s">
        <v>123</v>
      </c>
      <c r="B2" s="389"/>
      <c r="C2" s="389"/>
      <c r="D2" s="389"/>
      <c r="E2" s="389"/>
      <c r="F2" s="389"/>
      <c r="G2" s="389"/>
      <c r="H2" s="389"/>
    </row>
    <row r="3" spans="1:9" x14ac:dyDescent="0.2">
      <c r="A3" s="389" t="s">
        <v>1</v>
      </c>
      <c r="B3" s="389"/>
      <c r="C3" s="389"/>
      <c r="D3" s="389"/>
      <c r="E3" s="389"/>
      <c r="F3" s="389"/>
      <c r="G3" s="389"/>
      <c r="H3" s="389"/>
    </row>
    <row r="4" spans="1:9" x14ac:dyDescent="0.2">
      <c r="A4" s="395" t="s">
        <v>2</v>
      </c>
      <c r="B4" s="396"/>
      <c r="C4" s="396"/>
      <c r="D4" s="396"/>
      <c r="E4" s="396"/>
      <c r="F4" s="396"/>
      <c r="G4" s="396"/>
      <c r="H4" s="397"/>
    </row>
    <row r="5" spans="1:9" x14ac:dyDescent="0.2">
      <c r="A5" s="147" t="s">
        <v>142</v>
      </c>
      <c r="B5" s="148"/>
      <c r="C5" s="148"/>
      <c r="D5" s="148"/>
      <c r="E5" s="148"/>
      <c r="F5" s="148"/>
      <c r="G5" s="148"/>
      <c r="H5" s="149"/>
    </row>
    <row r="6" spans="1:9" ht="24.75" customHeight="1" x14ac:dyDescent="0.2">
      <c r="A6" s="390" t="s">
        <v>121</v>
      </c>
      <c r="B6" s="391"/>
      <c r="C6" s="391"/>
      <c r="D6" s="391"/>
      <c r="E6" s="391"/>
      <c r="F6" s="391"/>
      <c r="G6" s="391"/>
      <c r="H6" s="392"/>
    </row>
    <row r="7" spans="1:9" x14ac:dyDescent="0.2">
      <c r="A7" s="405" t="s">
        <v>143</v>
      </c>
      <c r="B7" s="406"/>
      <c r="C7" s="406"/>
      <c r="D7" s="406"/>
      <c r="E7" s="406"/>
      <c r="F7" s="406"/>
      <c r="G7" s="406"/>
      <c r="H7" s="407"/>
    </row>
    <row r="8" spans="1:9" x14ac:dyDescent="0.2">
      <c r="A8" s="393" t="s">
        <v>3</v>
      </c>
      <c r="B8" s="394"/>
      <c r="C8" s="394"/>
      <c r="D8" s="394"/>
      <c r="E8" s="394"/>
      <c r="F8" s="394"/>
      <c r="G8" s="394"/>
      <c r="H8" s="394"/>
    </row>
    <row r="9" spans="1:9" x14ac:dyDescent="0.2">
      <c r="A9" s="408"/>
      <c r="B9" s="408"/>
      <c r="C9" s="408"/>
      <c r="D9" s="408"/>
      <c r="E9" s="408"/>
      <c r="F9" s="408"/>
      <c r="G9" s="408"/>
      <c r="H9" s="408"/>
    </row>
    <row r="10" spans="1:9" ht="15.75" customHeight="1" x14ac:dyDescent="0.2">
      <c r="A10" s="402" t="s">
        <v>4</v>
      </c>
      <c r="B10" s="403"/>
      <c r="C10" s="403"/>
      <c r="D10" s="403"/>
      <c r="E10" s="403"/>
      <c r="F10" s="403"/>
      <c r="G10" s="403"/>
      <c r="H10" s="404"/>
    </row>
    <row r="11" spans="1:9" ht="27.75" customHeight="1" x14ac:dyDescent="0.2">
      <c r="A11" s="220" t="s">
        <v>10</v>
      </c>
      <c r="B11" s="398" t="s">
        <v>5</v>
      </c>
      <c r="C11" s="398"/>
      <c r="D11" s="143" t="s">
        <v>181</v>
      </c>
      <c r="E11" s="218" t="s">
        <v>124</v>
      </c>
      <c r="F11" s="144" t="s">
        <v>125</v>
      </c>
      <c r="G11" s="144" t="s">
        <v>6</v>
      </c>
      <c r="H11" s="144" t="s">
        <v>7</v>
      </c>
    </row>
    <row r="12" spans="1:9" ht="15" customHeight="1" x14ac:dyDescent="0.2">
      <c r="A12" s="173">
        <v>1</v>
      </c>
      <c r="B12" s="410" t="s">
        <v>180</v>
      </c>
      <c r="C12" s="410"/>
      <c r="D12" s="150" t="s">
        <v>182</v>
      </c>
      <c r="E12" s="151">
        <v>1</v>
      </c>
      <c r="F12" s="217">
        <f>'Planilha de Custos'!C130</f>
        <v>8892.08</v>
      </c>
      <c r="G12" s="152">
        <f>E12*F12</f>
        <v>8892.08</v>
      </c>
      <c r="H12" s="152">
        <f>G12*12</f>
        <v>106704.95999999999</v>
      </c>
      <c r="I12" s="145"/>
    </row>
    <row r="13" spans="1:9" ht="15" customHeight="1" x14ac:dyDescent="0.2">
      <c r="A13" s="409">
        <v>2</v>
      </c>
      <c r="B13" s="410" t="s">
        <v>183</v>
      </c>
      <c r="C13" s="410"/>
      <c r="D13" s="150" t="s">
        <v>184</v>
      </c>
      <c r="E13" s="151">
        <v>10</v>
      </c>
      <c r="F13" s="217">
        <f>'Planilha de Custos'!C131</f>
        <v>14348.94</v>
      </c>
      <c r="G13" s="152">
        <f>E13*F13</f>
        <v>143489.4</v>
      </c>
      <c r="H13" s="152">
        <f>G13*12</f>
        <v>1721872.7999999998</v>
      </c>
      <c r="I13" s="145"/>
    </row>
    <row r="14" spans="1:9" ht="15" customHeight="1" x14ac:dyDescent="0.2">
      <c r="A14" s="399"/>
      <c r="B14" s="410" t="s">
        <v>183</v>
      </c>
      <c r="C14" s="410"/>
      <c r="D14" s="150" t="s">
        <v>185</v>
      </c>
      <c r="E14" s="151">
        <v>11</v>
      </c>
      <c r="F14" s="217">
        <f>'Planilha de Custos'!C132</f>
        <v>15716.5</v>
      </c>
      <c r="G14" s="152">
        <f>E14*F14</f>
        <v>172881.5</v>
      </c>
      <c r="H14" s="152">
        <f>G14*12</f>
        <v>2074578</v>
      </c>
      <c r="I14" s="145"/>
    </row>
    <row r="15" spans="1:9" ht="15" customHeight="1" x14ac:dyDescent="0.2">
      <c r="A15" s="173">
        <v>3</v>
      </c>
      <c r="B15" s="410" t="s">
        <v>186</v>
      </c>
      <c r="C15" s="410"/>
      <c r="D15" s="150" t="s">
        <v>185</v>
      </c>
      <c r="E15" s="151">
        <v>1</v>
      </c>
      <c r="F15" s="217">
        <f>'Planilha de Custos'!C133</f>
        <v>17784.740000000002</v>
      </c>
      <c r="G15" s="152">
        <f>E15*F15</f>
        <v>17784.740000000002</v>
      </c>
      <c r="H15" s="152">
        <f>G15*12</f>
        <v>213416.88</v>
      </c>
      <c r="I15" s="145"/>
    </row>
    <row r="16" spans="1:9" ht="15" customHeight="1" x14ac:dyDescent="0.2">
      <c r="A16" s="173">
        <v>4</v>
      </c>
      <c r="B16" s="410" t="s">
        <v>187</v>
      </c>
      <c r="C16" s="410"/>
      <c r="D16" s="150" t="s">
        <v>184</v>
      </c>
      <c r="E16" s="151">
        <v>1</v>
      </c>
      <c r="F16" s="217">
        <f>'Planilha de Custos'!C134</f>
        <v>14348.94</v>
      </c>
      <c r="G16" s="152">
        <f>E16*F16</f>
        <v>14348.94</v>
      </c>
      <c r="H16" s="152">
        <f>G16*12</f>
        <v>172187.28</v>
      </c>
      <c r="I16" s="145"/>
    </row>
    <row r="17" spans="1:10" ht="15" customHeight="1" x14ac:dyDescent="0.2">
      <c r="A17" s="399" t="s">
        <v>126</v>
      </c>
      <c r="B17" s="400"/>
      <c r="C17" s="400"/>
      <c r="D17" s="401"/>
      <c r="E17" s="219">
        <f>SUM(E12:E16)</f>
        <v>24</v>
      </c>
      <c r="F17" s="153"/>
      <c r="G17" s="154">
        <f>SUM(G12:G16)</f>
        <v>357396.66</v>
      </c>
      <c r="H17" s="154">
        <f>SUM(H12:H16)</f>
        <v>4288759.92</v>
      </c>
      <c r="I17" s="177"/>
    </row>
    <row r="18" spans="1:10" ht="12.75" customHeight="1" x14ac:dyDescent="0.2">
      <c r="A18" s="146"/>
      <c r="B18" s="176"/>
      <c r="C18" s="176"/>
      <c r="D18" s="176"/>
      <c r="E18" s="176"/>
      <c r="F18" s="176"/>
      <c r="G18" s="178"/>
      <c r="H18" s="177"/>
      <c r="I18" s="177"/>
      <c r="J18" s="175"/>
    </row>
    <row r="20" spans="1:10" x14ac:dyDescent="0.2">
      <c r="I20" s="155"/>
    </row>
    <row r="21" spans="1:10" x14ac:dyDescent="0.2">
      <c r="G21" s="155"/>
    </row>
    <row r="22" spans="1:10" x14ac:dyDescent="0.2">
      <c r="I22" s="155"/>
    </row>
  </sheetData>
  <mergeCells count="17">
    <mergeCell ref="B11:C11"/>
    <mergeCell ref="A17:D17"/>
    <mergeCell ref="A10:H10"/>
    <mergeCell ref="A7:H7"/>
    <mergeCell ref="A9:H9"/>
    <mergeCell ref="A13:A14"/>
    <mergeCell ref="B12:C12"/>
    <mergeCell ref="B13:C13"/>
    <mergeCell ref="B14:C14"/>
    <mergeCell ref="B15:C15"/>
    <mergeCell ref="B16:C16"/>
    <mergeCell ref="A1:H1"/>
    <mergeCell ref="A2:H2"/>
    <mergeCell ref="A6:H6"/>
    <mergeCell ref="A8:H8"/>
    <mergeCell ref="A3:H3"/>
    <mergeCell ref="A4:H4"/>
  </mergeCells>
  <pageMargins left="0.51180555555555596" right="0.51180555555555596" top="0.78749999999999998" bottom="0.78749999999999998" header="0.511811023622047" footer="0.511811023622047"/>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A65D2-D850-4B37-841B-508EF00C9653}">
  <dimension ref="A1:AB167"/>
  <sheetViews>
    <sheetView showGridLines="0" topLeftCell="A100" zoomScaleNormal="100" zoomScaleSheetLayoutView="112" workbookViewId="0">
      <selection activeCell="A53" sqref="A53:K53"/>
    </sheetView>
  </sheetViews>
  <sheetFormatPr defaultColWidth="4.85546875" defaultRowHeight="12.75" x14ac:dyDescent="0.2"/>
  <cols>
    <col min="1" max="1" width="4.85546875" style="235"/>
    <col min="2" max="2" width="0.7109375" style="235" customWidth="1"/>
    <col min="3" max="3" width="4.85546875" style="235"/>
    <col min="4" max="4" width="13.140625" style="235" customWidth="1"/>
    <col min="5" max="5" width="7.28515625" style="235" customWidth="1"/>
    <col min="6" max="6" width="12.140625" style="235" customWidth="1"/>
    <col min="7" max="7" width="8.7109375" style="235" customWidth="1"/>
    <col min="8" max="11" width="4.85546875" style="235"/>
    <col min="12" max="12" width="6.7109375" style="235" customWidth="1"/>
    <col min="13" max="16" width="4.85546875" style="235"/>
    <col min="17" max="17" width="3" style="235" customWidth="1"/>
    <col min="18" max="18" width="29" style="235" customWidth="1"/>
    <col min="19" max="16384" width="4.85546875" style="235"/>
  </cols>
  <sheetData>
    <row r="1" spans="1:18" ht="23.25" customHeight="1" thickBot="1" x14ac:dyDescent="0.25">
      <c r="A1" s="411" t="s">
        <v>241</v>
      </c>
      <c r="B1" s="411"/>
      <c r="C1" s="411"/>
      <c r="D1" s="411"/>
      <c r="E1" s="411"/>
      <c r="F1" s="411"/>
      <c r="G1" s="411"/>
      <c r="H1" s="411"/>
      <c r="I1" s="411"/>
      <c r="J1" s="411"/>
      <c r="K1" s="411"/>
      <c r="L1" s="411"/>
      <c r="M1" s="411"/>
      <c r="N1" s="411"/>
      <c r="O1" s="411"/>
      <c r="P1" s="411"/>
      <c r="Q1" s="411"/>
    </row>
    <row r="2" spans="1:18" s="236" customFormat="1" ht="27.75" customHeight="1" thickBot="1" x14ac:dyDescent="0.25">
      <c r="A2" s="412" t="s">
        <v>242</v>
      </c>
      <c r="B2" s="413"/>
      <c r="C2" s="413"/>
      <c r="D2" s="413"/>
      <c r="E2" s="413"/>
      <c r="F2" s="413"/>
      <c r="G2" s="413"/>
      <c r="H2" s="413"/>
      <c r="I2" s="413"/>
      <c r="J2" s="413"/>
      <c r="K2" s="413"/>
      <c r="L2" s="413"/>
      <c r="M2" s="413"/>
      <c r="N2" s="413"/>
      <c r="O2" s="413"/>
      <c r="P2" s="413"/>
      <c r="Q2" s="414"/>
    </row>
    <row r="3" spans="1:18" ht="45.75" customHeight="1" x14ac:dyDescent="0.2">
      <c r="A3" s="415" t="s">
        <v>243</v>
      </c>
      <c r="B3" s="416"/>
      <c r="C3" s="416"/>
      <c r="D3" s="416"/>
      <c r="E3" s="416"/>
      <c r="F3" s="416"/>
      <c r="G3" s="416"/>
      <c r="H3" s="416"/>
      <c r="I3" s="416"/>
      <c r="J3" s="416"/>
      <c r="K3" s="416"/>
      <c r="L3" s="416"/>
      <c r="M3" s="416"/>
      <c r="N3" s="416"/>
      <c r="O3" s="416"/>
      <c r="P3" s="416"/>
      <c r="Q3" s="416"/>
      <c r="R3" s="235">
        <f>2593.73*30%</f>
        <v>778.11900000000003</v>
      </c>
    </row>
    <row r="4" spans="1:18" ht="5.0999999999999996" customHeight="1" x14ac:dyDescent="0.2">
      <c r="A4" s="417"/>
      <c r="B4" s="417"/>
      <c r="C4" s="417"/>
      <c r="D4" s="417"/>
      <c r="E4" s="417"/>
      <c r="F4" s="417"/>
      <c r="G4" s="417"/>
      <c r="H4" s="417"/>
      <c r="I4" s="417"/>
      <c r="J4" s="417"/>
      <c r="K4" s="417"/>
      <c r="L4" s="417"/>
      <c r="M4" s="417"/>
      <c r="N4" s="417"/>
      <c r="O4" s="417"/>
      <c r="P4" s="417"/>
      <c r="Q4" s="417"/>
    </row>
    <row r="5" spans="1:18" s="237" customFormat="1" ht="20.100000000000001" customHeight="1" x14ac:dyDescent="0.2">
      <c r="A5" s="418" t="s">
        <v>244</v>
      </c>
      <c r="B5" s="418"/>
      <c r="C5" s="418"/>
      <c r="D5" s="418"/>
      <c r="E5" s="418"/>
      <c r="F5" s="418"/>
      <c r="G5" s="418"/>
      <c r="H5" s="418"/>
      <c r="I5" s="418"/>
      <c r="J5" s="418"/>
      <c r="K5" s="418"/>
      <c r="L5" s="418"/>
      <c r="M5" s="418"/>
      <c r="N5" s="418"/>
      <c r="O5" s="418"/>
      <c r="P5" s="418"/>
      <c r="Q5" s="418"/>
    </row>
    <row r="6" spans="1:18" ht="35.1" customHeight="1" x14ac:dyDescent="0.2">
      <c r="A6" s="417" t="s">
        <v>245</v>
      </c>
      <c r="B6" s="417"/>
      <c r="C6" s="417"/>
      <c r="D6" s="417"/>
      <c r="E6" s="417"/>
      <c r="F6" s="417"/>
      <c r="G6" s="417"/>
      <c r="H6" s="417"/>
      <c r="I6" s="417"/>
      <c r="J6" s="417"/>
      <c r="K6" s="417"/>
      <c r="L6" s="417"/>
      <c r="M6" s="417"/>
      <c r="N6" s="417"/>
      <c r="O6" s="417"/>
      <c r="P6" s="417"/>
      <c r="Q6" s="417"/>
    </row>
    <row r="7" spans="1:18" s="238" customFormat="1" ht="35.1" customHeight="1" x14ac:dyDescent="0.2">
      <c r="A7" s="421" t="s">
        <v>246</v>
      </c>
      <c r="B7" s="420"/>
      <c r="C7" s="420"/>
      <c r="D7" s="420"/>
      <c r="E7" s="420"/>
      <c r="F7" s="420"/>
      <c r="G7" s="420"/>
      <c r="H7" s="420"/>
      <c r="I7" s="420"/>
      <c r="J7" s="420"/>
      <c r="K7" s="420"/>
      <c r="L7" s="420"/>
      <c r="M7" s="420"/>
      <c r="N7" s="420"/>
      <c r="O7" s="420"/>
      <c r="P7" s="420"/>
      <c r="Q7" s="420"/>
    </row>
    <row r="8" spans="1:18" s="237" customFormat="1" ht="6" hidden="1" customHeight="1" x14ac:dyDescent="0.2">
      <c r="A8" s="418" t="s">
        <v>247</v>
      </c>
      <c r="B8" s="418"/>
      <c r="C8" s="418"/>
      <c r="D8" s="418"/>
      <c r="E8" s="418"/>
      <c r="F8" s="418"/>
      <c r="G8" s="418"/>
      <c r="H8" s="418"/>
      <c r="I8" s="418"/>
      <c r="J8" s="418"/>
      <c r="K8" s="418"/>
      <c r="L8" s="418"/>
      <c r="M8" s="418"/>
      <c r="N8" s="418"/>
      <c r="O8" s="418"/>
      <c r="P8" s="418"/>
      <c r="Q8" s="418"/>
    </row>
    <row r="9" spans="1:18" s="238" customFormat="1" ht="6" hidden="1" customHeight="1" x14ac:dyDescent="0.2">
      <c r="A9" s="426" t="s">
        <v>248</v>
      </c>
      <c r="B9" s="420"/>
      <c r="C9" s="420"/>
      <c r="D9" s="420"/>
      <c r="E9" s="420"/>
      <c r="F9" s="420"/>
      <c r="G9" s="420"/>
      <c r="H9" s="420"/>
      <c r="I9" s="420"/>
      <c r="J9" s="420"/>
      <c r="K9" s="420"/>
      <c r="L9" s="420"/>
      <c r="M9" s="420"/>
      <c r="N9" s="420"/>
      <c r="O9" s="420"/>
      <c r="P9" s="420"/>
      <c r="Q9" s="420"/>
    </row>
    <row r="10" spans="1:18" s="238" customFormat="1" ht="6" hidden="1" customHeight="1" x14ac:dyDescent="0.2">
      <c r="A10" s="420" t="s">
        <v>249</v>
      </c>
      <c r="B10" s="420"/>
      <c r="C10" s="420"/>
      <c r="D10" s="420"/>
      <c r="E10" s="420"/>
      <c r="F10" s="420"/>
      <c r="G10" s="420"/>
      <c r="H10" s="420"/>
      <c r="I10" s="420"/>
      <c r="J10" s="420"/>
      <c r="K10" s="420"/>
      <c r="L10" s="420"/>
      <c r="M10" s="420"/>
      <c r="N10" s="420"/>
      <c r="O10" s="420"/>
      <c r="P10" s="420"/>
      <c r="Q10" s="420"/>
    </row>
    <row r="11" spans="1:18" ht="5.0999999999999996" customHeight="1" x14ac:dyDescent="0.2">
      <c r="A11" s="417"/>
      <c r="B11" s="417"/>
      <c r="C11" s="417"/>
      <c r="D11" s="417"/>
      <c r="E11" s="417"/>
      <c r="F11" s="417"/>
      <c r="G11" s="417"/>
      <c r="H11" s="417"/>
      <c r="I11" s="417"/>
      <c r="J11" s="417"/>
      <c r="K11" s="417"/>
      <c r="L11" s="417"/>
      <c r="M11" s="417"/>
      <c r="N11" s="417"/>
      <c r="O11" s="417"/>
      <c r="P11" s="417"/>
      <c r="Q11" s="417"/>
    </row>
    <row r="12" spans="1:18" s="237" customFormat="1" ht="20.100000000000001" customHeight="1" x14ac:dyDescent="0.2">
      <c r="A12" s="418" t="s">
        <v>250</v>
      </c>
      <c r="B12" s="418"/>
      <c r="C12" s="418"/>
      <c r="D12" s="418"/>
      <c r="E12" s="418"/>
      <c r="F12" s="418"/>
      <c r="G12" s="418"/>
      <c r="H12" s="418"/>
      <c r="I12" s="418"/>
      <c r="J12" s="418"/>
      <c r="K12" s="418"/>
      <c r="L12" s="418"/>
      <c r="M12" s="418"/>
      <c r="N12" s="418"/>
      <c r="O12" s="418"/>
      <c r="P12" s="418"/>
      <c r="Q12" s="418"/>
    </row>
    <row r="13" spans="1:18" ht="47.25" customHeight="1" x14ac:dyDescent="0.2">
      <c r="A13" s="419" t="s">
        <v>439</v>
      </c>
      <c r="B13" s="420"/>
      <c r="C13" s="420"/>
      <c r="D13" s="420"/>
      <c r="E13" s="420"/>
      <c r="F13" s="420"/>
      <c r="G13" s="420"/>
      <c r="H13" s="420"/>
      <c r="I13" s="420"/>
      <c r="J13" s="420"/>
      <c r="K13" s="420"/>
      <c r="L13" s="420"/>
      <c r="M13" s="420"/>
      <c r="N13" s="420"/>
      <c r="O13" s="420"/>
      <c r="P13" s="420"/>
      <c r="Q13" s="420"/>
    </row>
    <row r="14" spans="1:18" s="238" customFormat="1" ht="35.1" customHeight="1" x14ac:dyDescent="0.2">
      <c r="A14" s="421" t="s">
        <v>251</v>
      </c>
      <c r="B14" s="420"/>
      <c r="C14" s="420"/>
      <c r="D14" s="420"/>
      <c r="E14" s="420"/>
      <c r="F14" s="420"/>
      <c r="G14" s="420"/>
      <c r="H14" s="420"/>
      <c r="I14" s="420"/>
      <c r="J14" s="420"/>
      <c r="K14" s="420"/>
      <c r="L14" s="420"/>
      <c r="M14" s="420"/>
      <c r="N14" s="420"/>
      <c r="O14" s="420"/>
      <c r="P14" s="420"/>
      <c r="Q14" s="420"/>
    </row>
    <row r="15" spans="1:18" ht="5.0999999999999996" customHeight="1" x14ac:dyDescent="0.2">
      <c r="A15" s="417"/>
      <c r="B15" s="417"/>
      <c r="C15" s="417"/>
      <c r="D15" s="417"/>
      <c r="E15" s="417"/>
      <c r="F15" s="417"/>
      <c r="G15" s="417"/>
      <c r="H15" s="417"/>
      <c r="I15" s="417"/>
      <c r="J15" s="417"/>
      <c r="K15" s="417"/>
      <c r="L15" s="417"/>
      <c r="M15" s="417"/>
      <c r="N15" s="417"/>
      <c r="O15" s="417"/>
      <c r="P15" s="417"/>
      <c r="Q15" s="417"/>
    </row>
    <row r="16" spans="1:18" s="237" customFormat="1" ht="20.100000000000001" customHeight="1" x14ac:dyDescent="0.2">
      <c r="A16" s="422" t="s">
        <v>252</v>
      </c>
      <c r="B16" s="422"/>
      <c r="C16" s="422"/>
      <c r="D16" s="422"/>
      <c r="E16" s="422"/>
      <c r="F16" s="422"/>
      <c r="G16" s="422"/>
      <c r="H16" s="422"/>
      <c r="I16" s="422"/>
      <c r="J16" s="422"/>
      <c r="K16" s="422"/>
      <c r="L16" s="422"/>
      <c r="M16" s="422"/>
      <c r="N16" s="422"/>
      <c r="O16" s="422"/>
      <c r="P16" s="422"/>
      <c r="Q16" s="422"/>
    </row>
    <row r="17" spans="1:17" ht="38.25" customHeight="1" x14ac:dyDescent="0.2">
      <c r="A17" s="423" t="s">
        <v>253</v>
      </c>
      <c r="B17" s="423"/>
      <c r="C17" s="423"/>
      <c r="D17" s="423"/>
      <c r="E17" s="423"/>
      <c r="F17" s="423"/>
      <c r="G17" s="423"/>
      <c r="H17" s="423"/>
      <c r="I17" s="423"/>
      <c r="J17" s="423"/>
      <c r="K17" s="423"/>
      <c r="L17" s="423"/>
      <c r="M17" s="423"/>
      <c r="N17" s="423"/>
      <c r="O17" s="423"/>
      <c r="P17" s="423"/>
      <c r="Q17" s="423"/>
    </row>
    <row r="18" spans="1:17" ht="408.95" customHeight="1" x14ac:dyDescent="0.2">
      <c r="A18" s="423"/>
      <c r="B18" s="423"/>
      <c r="C18" s="423"/>
      <c r="D18" s="423"/>
      <c r="E18" s="423"/>
      <c r="F18" s="423"/>
      <c r="G18" s="423"/>
      <c r="H18" s="423"/>
      <c r="I18" s="423"/>
      <c r="J18" s="423"/>
      <c r="K18" s="423"/>
      <c r="L18" s="423"/>
      <c r="M18" s="423"/>
      <c r="N18" s="423"/>
      <c r="O18" s="423"/>
      <c r="P18" s="423"/>
      <c r="Q18" s="423"/>
    </row>
    <row r="19" spans="1:17" ht="38.25" customHeight="1" x14ac:dyDescent="0.2">
      <c r="A19" s="424" t="s">
        <v>254</v>
      </c>
      <c r="B19" s="425"/>
      <c r="C19" s="425"/>
      <c r="D19" s="425"/>
      <c r="E19" s="425"/>
      <c r="F19" s="425"/>
      <c r="G19" s="425"/>
      <c r="H19" s="425"/>
      <c r="I19" s="425"/>
      <c r="J19" s="425"/>
      <c r="K19" s="425"/>
      <c r="L19" s="425"/>
      <c r="M19" s="425"/>
      <c r="N19" s="425"/>
      <c r="O19" s="425"/>
      <c r="P19" s="425"/>
      <c r="Q19" s="425"/>
    </row>
    <row r="20" spans="1:17" ht="13.5" customHeight="1" x14ac:dyDescent="0.2">
      <c r="A20" s="429" t="s">
        <v>255</v>
      </c>
      <c r="B20" s="430"/>
      <c r="C20" s="430"/>
      <c r="D20" s="430"/>
      <c r="E20" s="430"/>
      <c r="F20" s="430"/>
      <c r="G20" s="430"/>
      <c r="H20" s="430"/>
      <c r="I20" s="430"/>
      <c r="J20" s="430"/>
      <c r="K20" s="430"/>
      <c r="L20" s="430"/>
      <c r="M20" s="430"/>
      <c r="N20" s="430"/>
      <c r="O20" s="430"/>
      <c r="P20" s="430"/>
      <c r="Q20" s="431"/>
    </row>
    <row r="21" spans="1:17" ht="35.1" customHeight="1" thickBot="1" x14ac:dyDescent="0.25">
      <c r="A21" s="432" t="s">
        <v>256</v>
      </c>
      <c r="B21" s="433"/>
      <c r="C21" s="433"/>
      <c r="D21" s="433"/>
      <c r="E21" s="433"/>
      <c r="F21" s="433"/>
      <c r="G21" s="433"/>
      <c r="H21" s="433"/>
      <c r="I21" s="433"/>
      <c r="J21" s="433"/>
      <c r="K21" s="433"/>
      <c r="L21" s="433"/>
      <c r="M21" s="433"/>
      <c r="N21" s="433"/>
      <c r="O21" s="433"/>
      <c r="P21" s="433"/>
      <c r="Q21" s="434"/>
    </row>
    <row r="22" spans="1:17" s="237" customFormat="1" ht="6" hidden="1" customHeight="1" x14ac:dyDescent="0.2">
      <c r="A22" s="435" t="s">
        <v>257</v>
      </c>
      <c r="B22" s="435"/>
      <c r="C22" s="435"/>
      <c r="D22" s="435"/>
      <c r="E22" s="435"/>
      <c r="F22" s="435"/>
      <c r="G22" s="435"/>
      <c r="H22" s="435"/>
      <c r="I22" s="435"/>
      <c r="J22" s="435"/>
      <c r="K22" s="435"/>
      <c r="L22" s="435"/>
      <c r="M22" s="435"/>
      <c r="N22" s="435"/>
      <c r="O22" s="435"/>
      <c r="P22" s="435"/>
      <c r="Q22" s="435"/>
    </row>
    <row r="23" spans="1:17" ht="6" hidden="1" customHeight="1" x14ac:dyDescent="0.2">
      <c r="A23" s="426" t="s">
        <v>258</v>
      </c>
      <c r="B23" s="420"/>
      <c r="C23" s="420"/>
      <c r="D23" s="420"/>
      <c r="E23" s="420"/>
      <c r="F23" s="420"/>
      <c r="G23" s="420"/>
      <c r="H23" s="420"/>
      <c r="I23" s="420"/>
      <c r="J23" s="420"/>
      <c r="K23" s="420"/>
      <c r="L23" s="420"/>
      <c r="M23" s="420"/>
      <c r="N23" s="420"/>
      <c r="O23" s="420"/>
      <c r="P23" s="420"/>
      <c r="Q23" s="420"/>
    </row>
    <row r="24" spans="1:17" s="238" customFormat="1" ht="6" hidden="1" customHeight="1" x14ac:dyDescent="0.2">
      <c r="A24" s="420" t="s">
        <v>259</v>
      </c>
      <c r="B24" s="420"/>
      <c r="C24" s="420"/>
      <c r="D24" s="420"/>
      <c r="E24" s="420"/>
      <c r="F24" s="420"/>
      <c r="G24" s="420"/>
      <c r="H24" s="420"/>
      <c r="I24" s="420"/>
      <c r="J24" s="420"/>
      <c r="K24" s="420"/>
      <c r="L24" s="420"/>
      <c r="M24" s="420"/>
      <c r="N24" s="420"/>
      <c r="O24" s="420"/>
      <c r="P24" s="420"/>
      <c r="Q24" s="420"/>
    </row>
    <row r="25" spans="1:17" ht="6" hidden="1" customHeight="1" x14ac:dyDescent="0.2">
      <c r="A25" s="426" t="s">
        <v>260</v>
      </c>
      <c r="B25" s="420"/>
      <c r="C25" s="420"/>
      <c r="D25" s="420"/>
      <c r="E25" s="420"/>
      <c r="F25" s="420"/>
      <c r="G25" s="420"/>
      <c r="H25" s="420"/>
      <c r="I25" s="420"/>
      <c r="J25" s="420"/>
      <c r="K25" s="420"/>
      <c r="L25" s="420"/>
      <c r="M25" s="420"/>
      <c r="N25" s="420"/>
      <c r="O25" s="420"/>
      <c r="P25" s="420"/>
      <c r="Q25" s="420"/>
    </row>
    <row r="26" spans="1:17" ht="6" hidden="1" customHeight="1" x14ac:dyDescent="0.2">
      <c r="A26" s="420" t="s">
        <v>261</v>
      </c>
      <c r="B26" s="420"/>
      <c r="C26" s="420"/>
      <c r="D26" s="420"/>
      <c r="E26" s="420"/>
      <c r="F26" s="420"/>
      <c r="G26" s="420"/>
      <c r="H26" s="420"/>
      <c r="I26" s="420"/>
      <c r="J26" s="420"/>
      <c r="K26" s="420"/>
      <c r="L26" s="420"/>
      <c r="M26" s="420"/>
      <c r="N26" s="420"/>
      <c r="O26" s="420"/>
      <c r="P26" s="420"/>
      <c r="Q26" s="420"/>
    </row>
    <row r="27" spans="1:17" ht="6" hidden="1" customHeight="1" x14ac:dyDescent="0.2">
      <c r="A27" s="426" t="s">
        <v>262</v>
      </c>
      <c r="B27" s="420"/>
      <c r="C27" s="420"/>
      <c r="D27" s="420"/>
      <c r="E27" s="420"/>
      <c r="F27" s="420"/>
      <c r="G27" s="420"/>
      <c r="H27" s="420"/>
      <c r="I27" s="420"/>
      <c r="J27" s="420"/>
      <c r="K27" s="420"/>
      <c r="L27" s="420"/>
      <c r="M27" s="420"/>
      <c r="N27" s="420"/>
      <c r="O27" s="420"/>
      <c r="P27" s="420"/>
      <c r="Q27" s="420"/>
    </row>
    <row r="28" spans="1:17" ht="6" hidden="1" customHeight="1" thickBot="1" x14ac:dyDescent="0.25">
      <c r="A28" s="420" t="s">
        <v>263</v>
      </c>
      <c r="B28" s="420"/>
      <c r="C28" s="420"/>
      <c r="D28" s="420"/>
      <c r="E28" s="420"/>
      <c r="F28" s="420"/>
      <c r="G28" s="420"/>
      <c r="H28" s="420"/>
      <c r="I28" s="420"/>
      <c r="J28" s="420"/>
      <c r="K28" s="420"/>
      <c r="L28" s="420"/>
      <c r="M28" s="420"/>
      <c r="N28" s="420"/>
      <c r="O28" s="420"/>
      <c r="P28" s="420"/>
      <c r="Q28" s="420"/>
    </row>
    <row r="29" spans="1:17" ht="56.45" customHeight="1" thickBot="1" x14ac:dyDescent="0.25">
      <c r="A29" s="412" t="s">
        <v>264</v>
      </c>
      <c r="B29" s="413"/>
      <c r="C29" s="413"/>
      <c r="D29" s="413"/>
      <c r="E29" s="413"/>
      <c r="F29" s="413"/>
      <c r="G29" s="413"/>
      <c r="H29" s="413"/>
      <c r="I29" s="413"/>
      <c r="J29" s="413"/>
      <c r="K29" s="413"/>
      <c r="L29" s="413"/>
      <c r="M29" s="413"/>
      <c r="N29" s="413"/>
      <c r="O29" s="413"/>
      <c r="P29" s="413"/>
      <c r="Q29" s="414"/>
    </row>
    <row r="30" spans="1:17" ht="21.2" customHeight="1" x14ac:dyDescent="0.2">
      <c r="A30" s="427" t="s">
        <v>265</v>
      </c>
      <c r="B30" s="427"/>
      <c r="C30" s="427"/>
      <c r="D30" s="427"/>
      <c r="E30" s="427"/>
      <c r="F30" s="427"/>
      <c r="G30" s="427"/>
      <c r="H30" s="427"/>
      <c r="I30" s="427"/>
      <c r="J30" s="427"/>
      <c r="K30" s="427"/>
      <c r="L30" s="427"/>
      <c r="M30" s="427"/>
      <c r="N30" s="427"/>
      <c r="O30" s="427"/>
      <c r="P30" s="427"/>
      <c r="Q30" s="427"/>
    </row>
    <row r="31" spans="1:17" ht="89.85" customHeight="1" x14ac:dyDescent="0.2">
      <c r="A31" s="239" t="s">
        <v>266</v>
      </c>
      <c r="B31" s="424" t="s">
        <v>267</v>
      </c>
      <c r="C31" s="424"/>
      <c r="D31" s="424"/>
      <c r="E31" s="240">
        <v>8.3299999999999999E-2</v>
      </c>
      <c r="F31" s="428" t="s">
        <v>268</v>
      </c>
      <c r="G31" s="428"/>
      <c r="H31" s="428"/>
      <c r="I31" s="428"/>
      <c r="J31" s="428"/>
      <c r="K31" s="428"/>
      <c r="L31" s="428"/>
      <c r="M31" s="428"/>
      <c r="N31" s="428"/>
      <c r="O31" s="428"/>
      <c r="P31" s="428"/>
      <c r="Q31" s="428"/>
    </row>
    <row r="32" spans="1:17" ht="117.75" customHeight="1" x14ac:dyDescent="0.2">
      <c r="A32" s="239" t="s">
        <v>269</v>
      </c>
      <c r="B32" s="424" t="s">
        <v>270</v>
      </c>
      <c r="C32" s="424"/>
      <c r="D32" s="424"/>
      <c r="E32" s="240">
        <v>0.1111</v>
      </c>
      <c r="F32" s="423"/>
      <c r="G32" s="423"/>
      <c r="H32" s="423"/>
      <c r="I32" s="423"/>
      <c r="J32" s="423"/>
      <c r="K32" s="423"/>
      <c r="L32" s="423"/>
      <c r="M32" s="423"/>
      <c r="N32" s="423"/>
      <c r="O32" s="423"/>
      <c r="P32" s="423"/>
      <c r="Q32" s="423"/>
    </row>
    <row r="33" spans="1:17" s="243" customFormat="1" ht="47.25" customHeight="1" x14ac:dyDescent="0.2">
      <c r="A33" s="241" t="s">
        <v>271</v>
      </c>
      <c r="B33" s="439" t="s">
        <v>272</v>
      </c>
      <c r="C33" s="439"/>
      <c r="D33" s="439"/>
      <c r="E33" s="242">
        <f>(E31+E32)*E45</f>
        <v>6.8623200000000009E-2</v>
      </c>
      <c r="F33" s="428" t="s">
        <v>273</v>
      </c>
      <c r="G33" s="428"/>
      <c r="H33" s="428"/>
      <c r="I33" s="428"/>
      <c r="J33" s="428"/>
      <c r="K33" s="428"/>
      <c r="L33" s="428"/>
      <c r="M33" s="428"/>
      <c r="N33" s="428"/>
      <c r="O33" s="428"/>
      <c r="P33" s="428"/>
      <c r="Q33" s="428"/>
    </row>
    <row r="34" spans="1:17" s="243" customFormat="1" ht="15" customHeight="1" x14ac:dyDescent="0.2">
      <c r="A34" s="438" t="s">
        <v>274</v>
      </c>
      <c r="B34" s="438"/>
      <c r="C34" s="438"/>
      <c r="D34" s="438"/>
      <c r="E34" s="245">
        <f>SUM(E31:E33)</f>
        <v>0.26302320000000001</v>
      </c>
      <c r="F34" s="438" t="s">
        <v>275</v>
      </c>
      <c r="G34" s="438"/>
      <c r="H34" s="438"/>
      <c r="I34" s="438"/>
      <c r="J34" s="438"/>
      <c r="K34" s="438"/>
      <c r="L34" s="438"/>
      <c r="M34" s="438"/>
      <c r="N34" s="438"/>
      <c r="O34" s="438"/>
      <c r="P34" s="438"/>
      <c r="Q34" s="438"/>
    </row>
    <row r="35" spans="1:17" s="243" customFormat="1" ht="33.75" customHeight="1" x14ac:dyDescent="0.2">
      <c r="A35" s="436" t="s">
        <v>276</v>
      </c>
      <c r="B35" s="437"/>
      <c r="C35" s="437"/>
      <c r="D35" s="437"/>
      <c r="E35" s="437"/>
      <c r="F35" s="437"/>
      <c r="G35" s="437"/>
      <c r="H35" s="437"/>
      <c r="I35" s="437"/>
      <c r="J35" s="437"/>
      <c r="K35" s="437"/>
      <c r="L35" s="437"/>
      <c r="M35" s="437"/>
      <c r="N35" s="437"/>
      <c r="O35" s="437"/>
      <c r="P35" s="437"/>
      <c r="Q35" s="437"/>
    </row>
    <row r="36" spans="1:17" s="243" customFormat="1" ht="18.75" customHeight="1" x14ac:dyDescent="0.2">
      <c r="A36" s="438" t="s">
        <v>277</v>
      </c>
      <c r="B36" s="438"/>
      <c r="C36" s="438"/>
      <c r="D36" s="438"/>
      <c r="E36" s="438"/>
      <c r="F36" s="438"/>
      <c r="G36" s="438"/>
      <c r="H36" s="438"/>
      <c r="I36" s="438"/>
      <c r="J36" s="438"/>
      <c r="K36" s="438"/>
      <c r="L36" s="438"/>
      <c r="M36" s="438"/>
      <c r="N36" s="438"/>
      <c r="O36" s="438"/>
      <c r="P36" s="438"/>
      <c r="Q36" s="438"/>
    </row>
    <row r="37" spans="1:17" s="243" customFormat="1" ht="32.25" customHeight="1" x14ac:dyDescent="0.2">
      <c r="A37" s="241" t="s">
        <v>266</v>
      </c>
      <c r="B37" s="439" t="s">
        <v>174</v>
      </c>
      <c r="C37" s="439"/>
      <c r="D37" s="439"/>
      <c r="E37" s="242">
        <f>'[1]ES Metodologia'!B12</f>
        <v>0.2</v>
      </c>
      <c r="F37" s="428" t="s">
        <v>278</v>
      </c>
      <c r="G37" s="428"/>
      <c r="H37" s="428"/>
      <c r="I37" s="428"/>
      <c r="J37" s="428"/>
      <c r="K37" s="428"/>
      <c r="L37" s="428"/>
      <c r="M37" s="428"/>
      <c r="N37" s="428"/>
      <c r="O37" s="428"/>
      <c r="P37" s="428"/>
      <c r="Q37" s="428"/>
    </row>
    <row r="38" spans="1:17" s="243" customFormat="1" ht="42.75" customHeight="1" x14ac:dyDescent="0.2">
      <c r="A38" s="241" t="s">
        <v>269</v>
      </c>
      <c r="B38" s="439" t="s">
        <v>279</v>
      </c>
      <c r="C38" s="439"/>
      <c r="D38" s="439"/>
      <c r="E38" s="242">
        <f>'[1]ES Metodologia'!B13</f>
        <v>2.5000000000000001E-2</v>
      </c>
      <c r="F38" s="428" t="s">
        <v>280</v>
      </c>
      <c r="G38" s="428"/>
      <c r="H38" s="428"/>
      <c r="I38" s="428"/>
      <c r="J38" s="428"/>
      <c r="K38" s="428"/>
      <c r="L38" s="428"/>
      <c r="M38" s="428"/>
      <c r="N38" s="428"/>
      <c r="O38" s="428"/>
      <c r="P38" s="428"/>
      <c r="Q38" s="428"/>
    </row>
    <row r="39" spans="1:17" s="243" customFormat="1" ht="47.25" customHeight="1" x14ac:dyDescent="0.2">
      <c r="A39" s="241" t="s">
        <v>271</v>
      </c>
      <c r="B39" s="439" t="s">
        <v>281</v>
      </c>
      <c r="C39" s="439"/>
      <c r="D39" s="439"/>
      <c r="E39" s="242">
        <f>'[1]ES Metodologia'!B14</f>
        <v>1.4999999999999999E-2</v>
      </c>
      <c r="F39" s="428" t="s">
        <v>282</v>
      </c>
      <c r="G39" s="428"/>
      <c r="H39" s="428"/>
      <c r="I39" s="428"/>
      <c r="J39" s="428"/>
      <c r="K39" s="428"/>
      <c r="L39" s="428"/>
      <c r="M39" s="428"/>
      <c r="N39" s="428"/>
      <c r="O39" s="428"/>
      <c r="P39" s="428"/>
      <c r="Q39" s="428"/>
    </row>
    <row r="40" spans="1:17" s="243" customFormat="1" ht="69" customHeight="1" x14ac:dyDescent="0.2">
      <c r="A40" s="241" t="s">
        <v>283</v>
      </c>
      <c r="B40" s="439" t="s">
        <v>284</v>
      </c>
      <c r="C40" s="439"/>
      <c r="D40" s="439"/>
      <c r="E40" s="242">
        <f>'[1]ES Metodologia'!B15</f>
        <v>1.4999999999999999E-2</v>
      </c>
      <c r="F40" s="428" t="s">
        <v>285</v>
      </c>
      <c r="G40" s="428"/>
      <c r="H40" s="428"/>
      <c r="I40" s="428"/>
      <c r="J40" s="428"/>
      <c r="K40" s="428"/>
      <c r="L40" s="428"/>
      <c r="M40" s="428"/>
      <c r="N40" s="428"/>
      <c r="O40" s="428"/>
      <c r="P40" s="428"/>
      <c r="Q40" s="428"/>
    </row>
    <row r="41" spans="1:17" s="243" customFormat="1" ht="58.5" customHeight="1" x14ac:dyDescent="0.2">
      <c r="A41" s="241" t="s">
        <v>286</v>
      </c>
      <c r="B41" s="439" t="s">
        <v>287</v>
      </c>
      <c r="C41" s="439"/>
      <c r="D41" s="439"/>
      <c r="E41" s="242">
        <f>'[1]ES Metodologia'!B16</f>
        <v>0.01</v>
      </c>
      <c r="F41" s="428" t="s">
        <v>288</v>
      </c>
      <c r="G41" s="428"/>
      <c r="H41" s="428"/>
      <c r="I41" s="428"/>
      <c r="J41" s="428"/>
      <c r="K41" s="428"/>
      <c r="L41" s="428"/>
      <c r="M41" s="428"/>
      <c r="N41" s="428"/>
      <c r="O41" s="428"/>
      <c r="P41" s="428"/>
      <c r="Q41" s="428"/>
    </row>
    <row r="42" spans="1:17" s="243" customFormat="1" ht="37.5" customHeight="1" x14ac:dyDescent="0.2">
      <c r="A42" s="241" t="s">
        <v>289</v>
      </c>
      <c r="B42" s="439" t="s">
        <v>290</v>
      </c>
      <c r="C42" s="439"/>
      <c r="D42" s="439"/>
      <c r="E42" s="242">
        <f>'[1]ES Metodologia'!B17</f>
        <v>6.0000000000000001E-3</v>
      </c>
      <c r="F42" s="428" t="s">
        <v>291</v>
      </c>
      <c r="G42" s="428"/>
      <c r="H42" s="428"/>
      <c r="I42" s="428"/>
      <c r="J42" s="428"/>
      <c r="K42" s="428"/>
      <c r="L42" s="428"/>
      <c r="M42" s="428"/>
      <c r="N42" s="428"/>
      <c r="O42" s="428"/>
      <c r="P42" s="428"/>
      <c r="Q42" s="428"/>
    </row>
    <row r="43" spans="1:17" s="243" customFormat="1" ht="36" customHeight="1" x14ac:dyDescent="0.2">
      <c r="A43" s="241" t="s">
        <v>292</v>
      </c>
      <c r="B43" s="439" t="s">
        <v>293</v>
      </c>
      <c r="C43" s="439"/>
      <c r="D43" s="439"/>
      <c r="E43" s="242">
        <f>'[1]ES Metodologia'!B18</f>
        <v>2E-3</v>
      </c>
      <c r="F43" s="428" t="s">
        <v>294</v>
      </c>
      <c r="G43" s="428"/>
      <c r="H43" s="428"/>
      <c r="I43" s="428"/>
      <c r="J43" s="428"/>
      <c r="K43" s="428"/>
      <c r="L43" s="428"/>
      <c r="M43" s="428"/>
      <c r="N43" s="428"/>
      <c r="O43" s="428"/>
      <c r="P43" s="428"/>
      <c r="Q43" s="428"/>
    </row>
    <row r="44" spans="1:17" s="243" customFormat="1" ht="41.25" customHeight="1" x14ac:dyDescent="0.2">
      <c r="A44" s="241" t="s">
        <v>295</v>
      </c>
      <c r="B44" s="439" t="s">
        <v>296</v>
      </c>
      <c r="C44" s="439"/>
      <c r="D44" s="439"/>
      <c r="E44" s="242">
        <f>'[1]ES Metodologia'!B19</f>
        <v>0.08</v>
      </c>
      <c r="F44" s="428" t="s">
        <v>297</v>
      </c>
      <c r="G44" s="428"/>
      <c r="H44" s="428"/>
      <c r="I44" s="428"/>
      <c r="J44" s="428"/>
      <c r="K44" s="428"/>
      <c r="L44" s="428"/>
      <c r="M44" s="428"/>
      <c r="N44" s="428"/>
      <c r="O44" s="428"/>
      <c r="P44" s="428"/>
      <c r="Q44" s="428"/>
    </row>
    <row r="45" spans="1:17" s="243" customFormat="1" ht="15" customHeight="1" x14ac:dyDescent="0.2">
      <c r="A45" s="438" t="s">
        <v>274</v>
      </c>
      <c r="B45" s="438"/>
      <c r="C45" s="438"/>
      <c r="D45" s="438"/>
      <c r="E45" s="245">
        <f>SUM(E37:E44)</f>
        <v>0.35300000000000004</v>
      </c>
      <c r="F45" s="439" t="s">
        <v>298</v>
      </c>
      <c r="G45" s="439"/>
      <c r="H45" s="439"/>
      <c r="I45" s="439"/>
      <c r="J45" s="439"/>
      <c r="K45" s="439"/>
      <c r="L45" s="439"/>
      <c r="M45" s="439"/>
      <c r="N45" s="439"/>
      <c r="O45" s="439"/>
      <c r="P45" s="439"/>
      <c r="Q45" s="439"/>
    </row>
    <row r="46" spans="1:17" s="243" customFormat="1" ht="2.1" customHeight="1" x14ac:dyDescent="0.2">
      <c r="A46" s="247"/>
      <c r="B46" s="247"/>
      <c r="C46" s="247"/>
      <c r="D46" s="247"/>
      <c r="E46" s="248"/>
      <c r="F46" s="249"/>
      <c r="G46" s="249"/>
      <c r="H46" s="249"/>
      <c r="I46" s="249"/>
      <c r="J46" s="249"/>
      <c r="K46" s="249"/>
      <c r="L46" s="249"/>
      <c r="M46" s="249"/>
      <c r="N46" s="249"/>
      <c r="O46" s="249"/>
      <c r="P46" s="249"/>
      <c r="Q46" s="249"/>
    </row>
    <row r="47" spans="1:17" s="243" customFormat="1" ht="24.75" customHeight="1" x14ac:dyDescent="0.2">
      <c r="A47" s="440" t="s">
        <v>299</v>
      </c>
      <c r="B47" s="441"/>
      <c r="C47" s="441"/>
      <c r="D47" s="441"/>
      <c r="E47" s="441"/>
      <c r="F47" s="441"/>
      <c r="G47" s="441"/>
      <c r="H47" s="441"/>
      <c r="I47" s="441"/>
      <c r="J47" s="441"/>
      <c r="K47" s="441"/>
      <c r="L47" s="441"/>
      <c r="M47" s="441"/>
      <c r="N47" s="441"/>
      <c r="O47" s="441"/>
      <c r="P47" s="441"/>
      <c r="Q47" s="441"/>
    </row>
    <row r="48" spans="1:17" s="243" customFormat="1" ht="21" customHeight="1" x14ac:dyDescent="0.2">
      <c r="A48" s="442" t="s">
        <v>300</v>
      </c>
      <c r="B48" s="442"/>
      <c r="C48" s="442"/>
      <c r="D48" s="442"/>
      <c r="E48" s="442"/>
      <c r="F48" s="442"/>
      <c r="G48" s="442"/>
      <c r="H48" s="442"/>
      <c r="I48" s="442"/>
      <c r="J48" s="442"/>
      <c r="K48" s="442"/>
      <c r="L48" s="442"/>
      <c r="M48" s="442"/>
      <c r="N48" s="442"/>
      <c r="O48" s="442"/>
      <c r="P48" s="442"/>
      <c r="Q48" s="442"/>
    </row>
    <row r="49" spans="1:17" s="250" customFormat="1" ht="18.95" customHeight="1" x14ac:dyDescent="0.2">
      <c r="A49" s="443" t="s">
        <v>301</v>
      </c>
      <c r="B49" s="444"/>
      <c r="C49" s="444"/>
      <c r="D49" s="444"/>
      <c r="E49" s="444"/>
      <c r="F49" s="444"/>
      <c r="G49" s="444"/>
      <c r="H49" s="444"/>
      <c r="I49" s="444"/>
      <c r="J49" s="444"/>
      <c r="K49" s="444"/>
      <c r="L49" s="444"/>
      <c r="M49" s="444"/>
      <c r="N49" s="444"/>
      <c r="O49" s="444"/>
      <c r="P49" s="444"/>
      <c r="Q49" s="444"/>
    </row>
    <row r="50" spans="1:17" s="238" customFormat="1" ht="38.25" customHeight="1" x14ac:dyDescent="0.2">
      <c r="A50" s="438" t="s">
        <v>10</v>
      </c>
      <c r="B50" s="438"/>
      <c r="C50" s="438"/>
      <c r="D50" s="438" t="s">
        <v>5</v>
      </c>
      <c r="E50" s="438"/>
      <c r="F50" s="438"/>
      <c r="G50" s="244" t="s">
        <v>302</v>
      </c>
      <c r="H50" s="438" t="s">
        <v>17</v>
      </c>
      <c r="I50" s="438"/>
      <c r="J50" s="438"/>
      <c r="K50" s="438"/>
      <c r="L50" s="438" t="s">
        <v>126</v>
      </c>
      <c r="M50" s="438"/>
      <c r="N50" s="438"/>
      <c r="O50" s="438"/>
      <c r="P50" s="438"/>
      <c r="Q50" s="438"/>
    </row>
    <row r="51" spans="1:17" s="250" customFormat="1" ht="21.75" customHeight="1" x14ac:dyDescent="0.2">
      <c r="A51" s="438" t="s">
        <v>303</v>
      </c>
      <c r="B51" s="438"/>
      <c r="C51" s="438"/>
      <c r="D51" s="439" t="s">
        <v>304</v>
      </c>
      <c r="E51" s="439"/>
      <c r="F51" s="439"/>
      <c r="G51" s="251">
        <v>26</v>
      </c>
      <c r="H51" s="439" t="str">
        <f>'[1]Anexo VI'!F9</f>
        <v>R$ 5,50</v>
      </c>
      <c r="I51" s="439"/>
      <c r="J51" s="439"/>
      <c r="K51" s="439"/>
      <c r="L51" s="448">
        <f>H51*G51</f>
        <v>143</v>
      </c>
      <c r="M51" s="439"/>
      <c r="N51" s="439"/>
      <c r="O51" s="439"/>
      <c r="P51" s="439"/>
      <c r="Q51" s="439"/>
    </row>
    <row r="52" spans="1:17" s="250" customFormat="1" ht="19.5" customHeight="1" x14ac:dyDescent="0.2">
      <c r="A52" s="438"/>
      <c r="B52" s="438"/>
      <c r="C52" s="438"/>
      <c r="D52" s="439" t="s">
        <v>305</v>
      </c>
      <c r="E52" s="439"/>
      <c r="F52" s="439"/>
      <c r="G52" s="251">
        <v>26</v>
      </c>
      <c r="H52" s="439" t="str">
        <f>'[1]Anexo VI'!F10</f>
        <v>R$ 5,50</v>
      </c>
      <c r="I52" s="439"/>
      <c r="J52" s="439"/>
      <c r="K52" s="439"/>
      <c r="L52" s="448">
        <f>H52*G52</f>
        <v>143</v>
      </c>
      <c r="M52" s="439"/>
      <c r="N52" s="439"/>
      <c r="O52" s="439"/>
      <c r="P52" s="439"/>
      <c r="Q52" s="439"/>
    </row>
    <row r="53" spans="1:17" s="250" customFormat="1" ht="15" customHeight="1" x14ac:dyDescent="0.2">
      <c r="A53" s="445" t="s">
        <v>306</v>
      </c>
      <c r="B53" s="445"/>
      <c r="C53" s="445"/>
      <c r="D53" s="445"/>
      <c r="E53" s="445"/>
      <c r="F53" s="445"/>
      <c r="G53" s="445"/>
      <c r="H53" s="445"/>
      <c r="I53" s="445"/>
      <c r="J53" s="445"/>
      <c r="K53" s="445"/>
      <c r="L53" s="446">
        <f>SUM(L51:Q52)</f>
        <v>286</v>
      </c>
      <c r="M53" s="445"/>
      <c r="N53" s="445"/>
      <c r="O53" s="445"/>
      <c r="P53" s="445"/>
      <c r="Q53" s="445"/>
    </row>
    <row r="54" spans="1:17" s="250" customFormat="1" ht="15" customHeight="1" x14ac:dyDescent="0.2">
      <c r="A54" s="445" t="s">
        <v>307</v>
      </c>
      <c r="B54" s="445"/>
      <c r="C54" s="445"/>
      <c r="D54" s="445"/>
      <c r="E54" s="445"/>
      <c r="F54" s="445"/>
      <c r="G54" s="445"/>
      <c r="H54" s="445"/>
      <c r="I54" s="445"/>
      <c r="J54" s="445"/>
      <c r="K54" s="445"/>
      <c r="L54" s="447">
        <f>3111.12*-6%</f>
        <v>-186.66719999999998</v>
      </c>
      <c r="M54" s="447"/>
      <c r="N54" s="447"/>
      <c r="O54" s="447"/>
      <c r="P54" s="447"/>
      <c r="Q54" s="447"/>
    </row>
    <row r="55" spans="1:17" s="250" customFormat="1" ht="15" customHeight="1" x14ac:dyDescent="0.2">
      <c r="A55" s="445" t="s">
        <v>308</v>
      </c>
      <c r="B55" s="445"/>
      <c r="C55" s="445"/>
      <c r="D55" s="445"/>
      <c r="E55" s="445"/>
      <c r="F55" s="445"/>
      <c r="G55" s="445"/>
      <c r="H55" s="445"/>
      <c r="I55" s="445"/>
      <c r="J55" s="445"/>
      <c r="K55" s="445"/>
      <c r="L55" s="447">
        <f>L53+L54</f>
        <v>99.33280000000002</v>
      </c>
      <c r="M55" s="445"/>
      <c r="N55" s="445"/>
      <c r="O55" s="445"/>
      <c r="P55" s="445"/>
      <c r="Q55" s="445"/>
    </row>
    <row r="56" spans="1:17" s="243" customFormat="1" ht="15" customHeight="1" x14ac:dyDescent="0.2">
      <c r="A56" s="439" t="s">
        <v>309</v>
      </c>
      <c r="B56" s="449"/>
      <c r="C56" s="449"/>
      <c r="D56" s="449"/>
      <c r="E56" s="449"/>
      <c r="F56" s="449"/>
      <c r="G56" s="449"/>
      <c r="H56" s="449"/>
      <c r="I56" s="449"/>
      <c r="J56" s="449"/>
      <c r="K56" s="449"/>
      <c r="L56" s="449"/>
      <c r="M56" s="449"/>
      <c r="N56" s="449"/>
      <c r="O56" s="449"/>
      <c r="P56" s="449"/>
      <c r="Q56" s="449"/>
    </row>
    <row r="57" spans="1:17" s="243" customFormat="1" ht="24.95" customHeight="1" x14ac:dyDescent="0.2">
      <c r="A57" s="438" t="s">
        <v>422</v>
      </c>
      <c r="B57" s="438"/>
      <c r="C57" s="438"/>
      <c r="D57" s="438"/>
      <c r="E57" s="438"/>
      <c r="F57" s="438"/>
      <c r="G57" s="438"/>
      <c r="H57" s="438"/>
      <c r="I57" s="438"/>
      <c r="J57" s="438"/>
      <c r="K57" s="438"/>
      <c r="L57" s="438"/>
      <c r="M57" s="438"/>
      <c r="N57" s="438"/>
      <c r="O57" s="438"/>
      <c r="P57" s="438"/>
      <c r="Q57" s="438"/>
    </row>
    <row r="58" spans="1:17" s="250" customFormat="1" ht="5.0999999999999996" customHeight="1" x14ac:dyDescent="0.2">
      <c r="A58" s="450"/>
      <c r="B58" s="451"/>
      <c r="C58" s="451"/>
      <c r="D58" s="451"/>
      <c r="E58" s="451"/>
      <c r="F58" s="451"/>
      <c r="G58" s="451"/>
      <c r="H58" s="451"/>
      <c r="I58" s="451"/>
      <c r="J58" s="451"/>
      <c r="K58" s="451"/>
      <c r="L58" s="451"/>
      <c r="M58" s="451"/>
      <c r="N58" s="451"/>
      <c r="O58" s="451"/>
      <c r="P58" s="451"/>
      <c r="Q58" s="452"/>
    </row>
    <row r="59" spans="1:17" s="250" customFormat="1" ht="15" customHeight="1" x14ac:dyDescent="0.2">
      <c r="A59" s="438" t="s">
        <v>310</v>
      </c>
      <c r="B59" s="438"/>
      <c r="C59" s="438"/>
      <c r="D59" s="453" t="s">
        <v>304</v>
      </c>
      <c r="E59" s="453"/>
      <c r="F59" s="453"/>
      <c r="G59" s="252">
        <f>'[1]Anexo VI'!E15</f>
        <v>15</v>
      </c>
      <c r="H59" s="453" t="str">
        <f>'[1]Anexo VI'!F15</f>
        <v>R$ 5,50</v>
      </c>
      <c r="I59" s="453"/>
      <c r="J59" s="453"/>
      <c r="K59" s="453"/>
      <c r="L59" s="448">
        <f>H59*G59</f>
        <v>82.5</v>
      </c>
      <c r="M59" s="439"/>
      <c r="N59" s="439"/>
      <c r="O59" s="439"/>
      <c r="P59" s="439"/>
      <c r="Q59" s="439"/>
    </row>
    <row r="60" spans="1:17" s="250" customFormat="1" ht="15" customHeight="1" x14ac:dyDescent="0.2">
      <c r="A60" s="438"/>
      <c r="B60" s="438"/>
      <c r="C60" s="438"/>
      <c r="D60" s="453" t="s">
        <v>305</v>
      </c>
      <c r="E60" s="453"/>
      <c r="F60" s="453"/>
      <c r="G60" s="252">
        <f>'[1]Anexo VI'!E16</f>
        <v>15</v>
      </c>
      <c r="H60" s="453" t="str">
        <f>'[1]Anexo VI'!F16</f>
        <v>R$ 5,50</v>
      </c>
      <c r="I60" s="453"/>
      <c r="J60" s="453"/>
      <c r="K60" s="453"/>
      <c r="L60" s="448">
        <f>H60*G60</f>
        <v>82.5</v>
      </c>
      <c r="M60" s="439"/>
      <c r="N60" s="439"/>
      <c r="O60" s="439"/>
      <c r="P60" s="439"/>
      <c r="Q60" s="439"/>
    </row>
    <row r="61" spans="1:17" s="250" customFormat="1" ht="15" customHeight="1" x14ac:dyDescent="0.2">
      <c r="A61" s="445" t="s">
        <v>306</v>
      </c>
      <c r="B61" s="445"/>
      <c r="C61" s="445"/>
      <c r="D61" s="445"/>
      <c r="E61" s="445"/>
      <c r="F61" s="445"/>
      <c r="G61" s="445"/>
      <c r="H61" s="445"/>
      <c r="I61" s="445"/>
      <c r="J61" s="445"/>
      <c r="K61" s="445"/>
      <c r="L61" s="446">
        <f>SUM(L59:Q60)</f>
        <v>165</v>
      </c>
      <c r="M61" s="445"/>
      <c r="N61" s="445"/>
      <c r="O61" s="445"/>
      <c r="P61" s="445"/>
      <c r="Q61" s="445"/>
    </row>
    <row r="62" spans="1:17" s="250" customFormat="1" ht="15" customHeight="1" x14ac:dyDescent="0.2">
      <c r="A62" s="445" t="s">
        <v>307</v>
      </c>
      <c r="B62" s="445"/>
      <c r="C62" s="445"/>
      <c r="D62" s="445"/>
      <c r="E62" s="445"/>
      <c r="F62" s="445"/>
      <c r="G62" s="445"/>
      <c r="H62" s="445"/>
      <c r="I62" s="445"/>
      <c r="J62" s="445"/>
      <c r="K62" s="445"/>
      <c r="L62" s="447">
        <f>2593.73*-6%</f>
        <v>-155.62379999999999</v>
      </c>
      <c r="M62" s="447"/>
      <c r="N62" s="447"/>
      <c r="O62" s="447"/>
      <c r="P62" s="447"/>
      <c r="Q62" s="447"/>
    </row>
    <row r="63" spans="1:17" s="250" customFormat="1" ht="15" customHeight="1" x14ac:dyDescent="0.2">
      <c r="A63" s="445" t="s">
        <v>308</v>
      </c>
      <c r="B63" s="445"/>
      <c r="C63" s="445"/>
      <c r="D63" s="445"/>
      <c r="E63" s="445"/>
      <c r="F63" s="445"/>
      <c r="G63" s="445"/>
      <c r="H63" s="445"/>
      <c r="I63" s="445"/>
      <c r="J63" s="445"/>
      <c r="K63" s="445"/>
      <c r="L63" s="447">
        <f>L61+L62</f>
        <v>9.3762000000000114</v>
      </c>
      <c r="M63" s="445"/>
      <c r="N63" s="445"/>
      <c r="O63" s="445"/>
      <c r="P63" s="445"/>
      <c r="Q63" s="445"/>
    </row>
    <row r="64" spans="1:17" s="243" customFormat="1" ht="15" customHeight="1" x14ac:dyDescent="0.2">
      <c r="A64" s="439" t="s">
        <v>311</v>
      </c>
      <c r="B64" s="449"/>
      <c r="C64" s="449"/>
      <c r="D64" s="449"/>
      <c r="E64" s="449"/>
      <c r="F64" s="449"/>
      <c r="G64" s="449"/>
      <c r="H64" s="449"/>
      <c r="I64" s="449"/>
      <c r="J64" s="449"/>
      <c r="K64" s="449"/>
      <c r="L64" s="449"/>
      <c r="M64" s="449"/>
      <c r="N64" s="449"/>
      <c r="O64" s="449"/>
      <c r="P64" s="449"/>
      <c r="Q64" s="449"/>
    </row>
    <row r="65" spans="1:17" s="243" customFormat="1" ht="24.95" customHeight="1" x14ac:dyDescent="0.2">
      <c r="A65" s="438" t="s">
        <v>312</v>
      </c>
      <c r="B65" s="438"/>
      <c r="C65" s="438"/>
      <c r="D65" s="438"/>
      <c r="E65" s="438"/>
      <c r="F65" s="438"/>
      <c r="G65" s="438"/>
      <c r="H65" s="438"/>
      <c r="I65" s="438"/>
      <c r="J65" s="438"/>
      <c r="K65" s="438"/>
      <c r="L65" s="438"/>
      <c r="M65" s="438"/>
      <c r="N65" s="438"/>
      <c r="O65" s="438"/>
      <c r="P65" s="438"/>
      <c r="Q65" s="438"/>
    </row>
    <row r="66" spans="1:17" ht="5.0999999999999996" customHeight="1" x14ac:dyDescent="0.2">
      <c r="A66" s="454"/>
      <c r="B66" s="454"/>
      <c r="C66" s="454"/>
      <c r="D66" s="454"/>
      <c r="E66" s="454"/>
      <c r="F66" s="454"/>
      <c r="G66" s="454"/>
      <c r="H66" s="454"/>
      <c r="I66" s="454"/>
      <c r="J66" s="454"/>
      <c r="K66" s="454"/>
      <c r="L66" s="454"/>
      <c r="M66" s="454"/>
      <c r="N66" s="454"/>
      <c r="O66" s="454"/>
      <c r="P66" s="454"/>
      <c r="Q66" s="454"/>
    </row>
    <row r="67" spans="1:17" s="253" customFormat="1" ht="16.5" customHeight="1" x14ac:dyDescent="0.2">
      <c r="A67" s="445" t="s">
        <v>313</v>
      </c>
      <c r="B67" s="445"/>
      <c r="C67" s="445"/>
      <c r="D67" s="445"/>
      <c r="E67" s="445"/>
      <c r="F67" s="445"/>
      <c r="G67" s="445"/>
      <c r="H67" s="445"/>
      <c r="I67" s="445"/>
      <c r="J67" s="445"/>
      <c r="K67" s="445"/>
      <c r="L67" s="445"/>
      <c r="M67" s="445"/>
      <c r="N67" s="445"/>
      <c r="O67" s="445"/>
      <c r="P67" s="445"/>
      <c r="Q67" s="445"/>
    </row>
    <row r="68" spans="1:17" s="272" customFormat="1" ht="13.5" customHeight="1" x14ac:dyDescent="0.2">
      <c r="A68" s="455" t="s">
        <v>314</v>
      </c>
      <c r="B68" s="455"/>
      <c r="C68" s="455"/>
      <c r="D68" s="455"/>
      <c r="E68" s="455"/>
      <c r="F68" s="455"/>
      <c r="G68" s="455"/>
      <c r="H68" s="455"/>
      <c r="I68" s="455"/>
      <c r="J68" s="455"/>
      <c r="K68" s="455"/>
      <c r="L68" s="455"/>
      <c r="M68" s="455"/>
      <c r="N68" s="455"/>
      <c r="O68" s="455"/>
      <c r="P68" s="455"/>
      <c r="Q68" s="455"/>
    </row>
    <row r="69" spans="1:17" s="272" customFormat="1" ht="13.5" customHeight="1" x14ac:dyDescent="0.2">
      <c r="A69" s="273" t="s">
        <v>10</v>
      </c>
      <c r="B69" s="456" t="s">
        <v>315</v>
      </c>
      <c r="C69" s="456"/>
      <c r="D69" s="456" t="s">
        <v>5</v>
      </c>
      <c r="E69" s="456"/>
      <c r="F69" s="273" t="s">
        <v>17</v>
      </c>
      <c r="G69" s="456" t="s">
        <v>126</v>
      </c>
      <c r="H69" s="456"/>
      <c r="I69" s="457" t="s">
        <v>316</v>
      </c>
      <c r="J69" s="457"/>
      <c r="K69" s="457"/>
      <c r="L69" s="458" t="s">
        <v>317</v>
      </c>
      <c r="M69" s="458"/>
      <c r="N69" s="458"/>
      <c r="O69" s="458"/>
      <c r="P69" s="458"/>
      <c r="Q69" s="458"/>
    </row>
    <row r="70" spans="1:17" s="272" customFormat="1" ht="13.5" customHeight="1" x14ac:dyDescent="0.2">
      <c r="A70" s="274">
        <v>1</v>
      </c>
      <c r="B70" s="470">
        <v>15</v>
      </c>
      <c r="C70" s="470"/>
      <c r="D70" s="457" t="s">
        <v>318</v>
      </c>
      <c r="E70" s="457"/>
      <c r="F70" s="275">
        <v>45.12</v>
      </c>
      <c r="G70" s="471">
        <f>F70*B70</f>
        <v>676.8</v>
      </c>
      <c r="H70" s="471"/>
      <c r="I70" s="471">
        <v>0</v>
      </c>
      <c r="J70" s="471"/>
      <c r="K70" s="471"/>
      <c r="L70" s="472">
        <f>G70+I70</f>
        <v>676.8</v>
      </c>
      <c r="M70" s="472"/>
      <c r="N70" s="472"/>
      <c r="O70" s="472"/>
      <c r="P70" s="472"/>
      <c r="Q70" s="472"/>
    </row>
    <row r="71" spans="1:17" s="272" customFormat="1" ht="13.5" customHeight="1" x14ac:dyDescent="0.2">
      <c r="A71" s="274">
        <v>2</v>
      </c>
      <c r="B71" s="470">
        <v>22</v>
      </c>
      <c r="C71" s="470"/>
      <c r="D71" s="457" t="s">
        <v>319</v>
      </c>
      <c r="E71" s="457"/>
      <c r="F71" s="275">
        <v>45.12</v>
      </c>
      <c r="G71" s="471">
        <f>F71*B71</f>
        <v>992.64</v>
      </c>
      <c r="H71" s="471"/>
      <c r="I71" s="471">
        <v>0</v>
      </c>
      <c r="J71" s="471"/>
      <c r="K71" s="471"/>
      <c r="L71" s="473">
        <f>G71+I71</f>
        <v>992.64</v>
      </c>
      <c r="M71" s="473"/>
      <c r="N71" s="473"/>
      <c r="O71" s="473"/>
      <c r="P71" s="473"/>
      <c r="Q71" s="473"/>
    </row>
    <row r="72" spans="1:17" s="272" customFormat="1" ht="47.25" customHeight="1" x14ac:dyDescent="0.2">
      <c r="A72" s="459" t="s">
        <v>423</v>
      </c>
      <c r="B72" s="460"/>
      <c r="C72" s="460"/>
      <c r="D72" s="460"/>
      <c r="E72" s="460"/>
      <c r="F72" s="460"/>
      <c r="G72" s="460"/>
      <c r="H72" s="460"/>
      <c r="I72" s="460"/>
      <c r="J72" s="460"/>
      <c r="K72" s="460"/>
      <c r="L72" s="460"/>
      <c r="M72" s="460"/>
      <c r="N72" s="460"/>
      <c r="O72" s="460"/>
      <c r="P72" s="460"/>
      <c r="Q72" s="461"/>
    </row>
    <row r="73" spans="1:17" s="253" customFormat="1" ht="13.5" hidden="1" customHeight="1" x14ac:dyDescent="0.2">
      <c r="A73" s="450" t="s">
        <v>320</v>
      </c>
      <c r="B73" s="451"/>
      <c r="C73" s="451"/>
      <c r="D73" s="451"/>
      <c r="E73" s="451"/>
      <c r="F73" s="451"/>
      <c r="G73" s="451"/>
      <c r="H73" s="451"/>
      <c r="I73" s="451"/>
      <c r="J73" s="451"/>
      <c r="K73" s="451"/>
      <c r="L73" s="451"/>
      <c r="M73" s="451"/>
      <c r="N73" s="451"/>
      <c r="O73" s="451"/>
      <c r="P73" s="451"/>
      <c r="Q73" s="452"/>
    </row>
    <row r="74" spans="1:17" s="250" customFormat="1" ht="28.5" hidden="1" customHeight="1" x14ac:dyDescent="0.2">
      <c r="A74" s="462" t="s">
        <v>321</v>
      </c>
      <c r="B74" s="463"/>
      <c r="C74" s="463"/>
      <c r="D74" s="463"/>
      <c r="E74" s="463"/>
      <c r="F74" s="464" t="s">
        <v>322</v>
      </c>
      <c r="G74" s="464"/>
      <c r="H74" s="464"/>
      <c r="I74" s="464"/>
      <c r="J74" s="464"/>
      <c r="K74" s="464"/>
      <c r="L74" s="464"/>
      <c r="M74" s="464"/>
      <c r="N74" s="464"/>
      <c r="O74" s="464"/>
      <c r="P74" s="464"/>
      <c r="Q74" s="465"/>
    </row>
    <row r="75" spans="1:17" s="253" customFormat="1" ht="43.5" hidden="1" customHeight="1" x14ac:dyDescent="0.2">
      <c r="A75" s="466" t="s">
        <v>323</v>
      </c>
      <c r="B75" s="467"/>
      <c r="C75" s="467"/>
      <c r="D75" s="467"/>
      <c r="E75" s="467"/>
      <c r="F75" s="467"/>
      <c r="G75" s="467"/>
      <c r="H75" s="467"/>
      <c r="I75" s="467"/>
      <c r="J75" s="467"/>
      <c r="K75" s="467"/>
      <c r="L75" s="467"/>
      <c r="M75" s="467"/>
      <c r="N75" s="467"/>
      <c r="O75" s="467"/>
      <c r="P75" s="467"/>
      <c r="Q75" s="468"/>
    </row>
    <row r="76" spans="1:17" s="253" customFormat="1" ht="5.0999999999999996" hidden="1" customHeight="1" x14ac:dyDescent="0.2">
      <c r="A76" s="469"/>
      <c r="B76" s="469"/>
      <c r="C76" s="469"/>
      <c r="D76" s="469"/>
      <c r="E76" s="469"/>
      <c r="F76" s="469"/>
      <c r="G76" s="469"/>
      <c r="H76" s="469"/>
      <c r="I76" s="469"/>
      <c r="J76" s="469"/>
      <c r="K76" s="469"/>
      <c r="L76" s="469"/>
      <c r="M76" s="469"/>
      <c r="N76" s="469"/>
      <c r="O76" s="469"/>
      <c r="P76" s="469"/>
      <c r="Q76" s="469"/>
    </row>
    <row r="77" spans="1:17" s="253" customFormat="1" ht="13.5" hidden="1" customHeight="1" x14ac:dyDescent="0.2">
      <c r="A77" s="450" t="s">
        <v>324</v>
      </c>
      <c r="B77" s="451"/>
      <c r="C77" s="451"/>
      <c r="D77" s="451"/>
      <c r="E77" s="451"/>
      <c r="F77" s="451"/>
      <c r="G77" s="451"/>
      <c r="H77" s="451"/>
      <c r="I77" s="451"/>
      <c r="J77" s="451"/>
      <c r="K77" s="451"/>
      <c r="L77" s="451"/>
      <c r="M77" s="451"/>
      <c r="N77" s="451"/>
      <c r="O77" s="451"/>
      <c r="P77" s="451"/>
      <c r="Q77" s="452"/>
    </row>
    <row r="78" spans="1:17" s="250" customFormat="1" ht="27.75" hidden="1" customHeight="1" x14ac:dyDescent="0.2">
      <c r="A78" s="462" t="s">
        <v>325</v>
      </c>
      <c r="B78" s="463"/>
      <c r="C78" s="463"/>
      <c r="D78" s="463"/>
      <c r="E78" s="463"/>
      <c r="F78" s="464" t="s">
        <v>326</v>
      </c>
      <c r="G78" s="464"/>
      <c r="H78" s="464"/>
      <c r="I78" s="464"/>
      <c r="J78" s="464"/>
      <c r="K78" s="464"/>
      <c r="L78" s="464"/>
      <c r="M78" s="464"/>
      <c r="N78" s="464"/>
      <c r="O78" s="464"/>
      <c r="P78" s="464"/>
      <c r="Q78" s="465"/>
    </row>
    <row r="79" spans="1:17" s="253" customFormat="1" ht="43.5" hidden="1" customHeight="1" x14ac:dyDescent="0.2">
      <c r="A79" s="466" t="s">
        <v>327</v>
      </c>
      <c r="B79" s="467"/>
      <c r="C79" s="467"/>
      <c r="D79" s="467"/>
      <c r="E79" s="467"/>
      <c r="F79" s="467"/>
      <c r="G79" s="467"/>
      <c r="H79" s="467"/>
      <c r="I79" s="467"/>
      <c r="J79" s="467"/>
      <c r="K79" s="467"/>
      <c r="L79" s="467"/>
      <c r="M79" s="467"/>
      <c r="N79" s="467"/>
      <c r="O79" s="467"/>
      <c r="P79" s="467"/>
      <c r="Q79" s="468"/>
    </row>
    <row r="80" spans="1:17" s="253" customFormat="1" ht="5.0999999999999996" hidden="1" customHeight="1" x14ac:dyDescent="0.2">
      <c r="A80" s="469"/>
      <c r="B80" s="469"/>
      <c r="C80" s="469"/>
      <c r="D80" s="469"/>
      <c r="E80" s="469"/>
      <c r="F80" s="469"/>
      <c r="G80" s="469"/>
      <c r="H80" s="469"/>
      <c r="I80" s="469"/>
      <c r="J80" s="469"/>
      <c r="K80" s="469"/>
      <c r="L80" s="469"/>
      <c r="M80" s="469"/>
      <c r="N80" s="469"/>
      <c r="O80" s="469"/>
      <c r="P80" s="469"/>
      <c r="Q80" s="469"/>
    </row>
    <row r="81" spans="1:28" s="253" customFormat="1" ht="13.5" hidden="1" customHeight="1" x14ac:dyDescent="0.2">
      <c r="A81" s="450" t="s">
        <v>328</v>
      </c>
      <c r="B81" s="451"/>
      <c r="C81" s="451"/>
      <c r="D81" s="451"/>
      <c r="E81" s="451"/>
      <c r="F81" s="451"/>
      <c r="G81" s="451"/>
      <c r="H81" s="451"/>
      <c r="I81" s="451"/>
      <c r="J81" s="451"/>
      <c r="K81" s="451"/>
      <c r="L81" s="451"/>
      <c r="M81" s="451"/>
      <c r="N81" s="451"/>
      <c r="O81" s="451"/>
      <c r="P81" s="451"/>
      <c r="Q81" s="452"/>
    </row>
    <row r="82" spans="1:28" s="250" customFormat="1" ht="27.75" hidden="1" customHeight="1" x14ac:dyDescent="0.2">
      <c r="A82" s="462" t="s">
        <v>329</v>
      </c>
      <c r="B82" s="463"/>
      <c r="C82" s="463"/>
      <c r="D82" s="463"/>
      <c r="E82" s="463"/>
      <c r="F82" s="464" t="s">
        <v>330</v>
      </c>
      <c r="G82" s="464"/>
      <c r="H82" s="464"/>
      <c r="I82" s="464"/>
      <c r="J82" s="464"/>
      <c r="K82" s="464"/>
      <c r="L82" s="464"/>
      <c r="M82" s="464"/>
      <c r="N82" s="464"/>
      <c r="O82" s="464"/>
      <c r="P82" s="464"/>
      <c r="Q82" s="465"/>
    </row>
    <row r="83" spans="1:28" s="253" customFormat="1" ht="42.75" hidden="1" customHeight="1" x14ac:dyDescent="0.2">
      <c r="A83" s="466" t="s">
        <v>331</v>
      </c>
      <c r="B83" s="467"/>
      <c r="C83" s="467"/>
      <c r="D83" s="467"/>
      <c r="E83" s="467"/>
      <c r="F83" s="467"/>
      <c r="G83" s="467"/>
      <c r="H83" s="467"/>
      <c r="I83" s="467"/>
      <c r="J83" s="467"/>
      <c r="K83" s="467"/>
      <c r="L83" s="467"/>
      <c r="M83" s="467"/>
      <c r="N83" s="467"/>
      <c r="O83" s="467"/>
      <c r="P83" s="467"/>
      <c r="Q83" s="468"/>
    </row>
    <row r="84" spans="1:28" s="253" customFormat="1" ht="5.0999999999999996" hidden="1" customHeight="1" x14ac:dyDescent="0.2">
      <c r="A84" s="469"/>
      <c r="B84" s="469"/>
      <c r="C84" s="469"/>
      <c r="D84" s="469"/>
      <c r="E84" s="469"/>
      <c r="F84" s="469"/>
      <c r="G84" s="469"/>
      <c r="H84" s="469"/>
      <c r="I84" s="469"/>
      <c r="J84" s="469"/>
      <c r="K84" s="469"/>
      <c r="L84" s="469"/>
      <c r="M84" s="469"/>
      <c r="N84" s="469"/>
      <c r="O84" s="469"/>
      <c r="P84" s="469"/>
      <c r="Q84" s="469"/>
    </row>
    <row r="85" spans="1:28" s="253" customFormat="1" ht="13.5" hidden="1" customHeight="1" x14ac:dyDescent="0.2">
      <c r="A85" s="450" t="s">
        <v>332</v>
      </c>
      <c r="B85" s="451"/>
      <c r="C85" s="451"/>
      <c r="D85" s="451"/>
      <c r="E85" s="451"/>
      <c r="F85" s="451"/>
      <c r="G85" s="451"/>
      <c r="H85" s="451"/>
      <c r="I85" s="451"/>
      <c r="J85" s="451"/>
      <c r="K85" s="451"/>
      <c r="L85" s="451"/>
      <c r="M85" s="451"/>
      <c r="N85" s="451"/>
      <c r="O85" s="451"/>
      <c r="P85" s="451"/>
      <c r="Q85" s="452"/>
    </row>
    <row r="86" spans="1:28" s="250" customFormat="1" ht="27.75" hidden="1" customHeight="1" x14ac:dyDescent="0.2">
      <c r="A86" s="462" t="s">
        <v>333</v>
      </c>
      <c r="B86" s="463"/>
      <c r="C86" s="463"/>
      <c r="D86" s="463"/>
      <c r="E86" s="463"/>
      <c r="F86" s="474" t="s">
        <v>334</v>
      </c>
      <c r="G86" s="474"/>
      <c r="H86" s="474"/>
      <c r="I86" s="474"/>
      <c r="J86" s="474"/>
      <c r="K86" s="474"/>
      <c r="L86" s="474"/>
      <c r="M86" s="474"/>
      <c r="N86" s="474"/>
      <c r="O86" s="474"/>
      <c r="P86" s="474"/>
      <c r="Q86" s="475"/>
    </row>
    <row r="87" spans="1:28" s="253" customFormat="1" ht="41.25" hidden="1" customHeight="1" x14ac:dyDescent="0.2">
      <c r="A87" s="466" t="s">
        <v>335</v>
      </c>
      <c r="B87" s="467"/>
      <c r="C87" s="467"/>
      <c r="D87" s="467"/>
      <c r="E87" s="467"/>
      <c r="F87" s="467"/>
      <c r="G87" s="467"/>
      <c r="H87" s="467"/>
      <c r="I87" s="467"/>
      <c r="J87" s="467"/>
      <c r="K87" s="467"/>
      <c r="L87" s="467"/>
      <c r="M87" s="467"/>
      <c r="N87" s="467"/>
      <c r="O87" s="467"/>
      <c r="P87" s="467"/>
      <c r="Q87" s="468"/>
    </row>
    <row r="88" spans="1:28" s="253" customFormat="1" ht="5.0999999999999996" customHeight="1" x14ac:dyDescent="0.2">
      <c r="A88" s="469"/>
      <c r="B88" s="469"/>
      <c r="C88" s="469"/>
      <c r="D88" s="469"/>
      <c r="E88" s="469"/>
      <c r="F88" s="469"/>
      <c r="G88" s="469"/>
      <c r="H88" s="469"/>
      <c r="I88" s="469"/>
      <c r="J88" s="469"/>
      <c r="K88" s="469"/>
      <c r="L88" s="469"/>
      <c r="M88" s="469"/>
      <c r="N88" s="469"/>
      <c r="O88" s="469"/>
      <c r="P88" s="469"/>
      <c r="Q88" s="469"/>
    </row>
    <row r="89" spans="1:28" s="253" customFormat="1" ht="13.5" customHeight="1" x14ac:dyDescent="0.2">
      <c r="A89" s="450" t="s">
        <v>336</v>
      </c>
      <c r="B89" s="451"/>
      <c r="C89" s="451"/>
      <c r="D89" s="451"/>
      <c r="E89" s="451"/>
      <c r="F89" s="451"/>
      <c r="G89" s="451"/>
      <c r="H89" s="451"/>
      <c r="I89" s="451"/>
      <c r="J89" s="451"/>
      <c r="K89" s="451"/>
      <c r="L89" s="451"/>
      <c r="M89" s="451"/>
      <c r="N89" s="451"/>
      <c r="O89" s="451"/>
      <c r="P89" s="451"/>
      <c r="Q89" s="452"/>
      <c r="R89" s="254"/>
      <c r="S89" s="254"/>
      <c r="T89" s="254"/>
      <c r="U89" s="254"/>
      <c r="V89" s="254"/>
      <c r="W89" s="254"/>
      <c r="X89" s="254"/>
      <c r="Y89" s="254"/>
      <c r="Z89" s="254"/>
      <c r="AA89" s="254"/>
      <c r="AB89" s="254"/>
    </row>
    <row r="90" spans="1:28" s="257" customFormat="1" ht="76.5" customHeight="1" x14ac:dyDescent="0.2">
      <c r="A90" s="255" t="s">
        <v>266</v>
      </c>
      <c r="B90" s="476" t="s">
        <v>337</v>
      </c>
      <c r="C90" s="476"/>
      <c r="D90" s="476"/>
      <c r="E90" s="256">
        <v>8.0000000000000004E-4</v>
      </c>
      <c r="F90" s="477" t="s">
        <v>338</v>
      </c>
      <c r="G90" s="478"/>
      <c r="H90" s="478"/>
      <c r="I90" s="478"/>
      <c r="J90" s="478"/>
      <c r="K90" s="478"/>
      <c r="L90" s="478"/>
      <c r="M90" s="478"/>
      <c r="N90" s="478"/>
      <c r="O90" s="478"/>
      <c r="P90" s="478"/>
      <c r="Q90" s="479"/>
      <c r="R90" s="254"/>
      <c r="S90" s="254"/>
      <c r="T90" s="254"/>
      <c r="U90" s="254"/>
      <c r="V90" s="254"/>
      <c r="W90" s="254"/>
      <c r="X90" s="254"/>
      <c r="Y90" s="254"/>
      <c r="Z90" s="254"/>
      <c r="AA90" s="254"/>
      <c r="AB90" s="254"/>
    </row>
    <row r="91" spans="1:28" s="257" customFormat="1" ht="51.75" customHeight="1" x14ac:dyDescent="0.2">
      <c r="A91" s="255" t="s">
        <v>269</v>
      </c>
      <c r="B91" s="476" t="s">
        <v>339</v>
      </c>
      <c r="C91" s="476"/>
      <c r="D91" s="476"/>
      <c r="E91" s="256">
        <f>E90*8%</f>
        <v>6.4000000000000011E-5</v>
      </c>
      <c r="F91" s="477" t="s">
        <v>340</v>
      </c>
      <c r="G91" s="478"/>
      <c r="H91" s="478"/>
      <c r="I91" s="478"/>
      <c r="J91" s="478"/>
      <c r="K91" s="478"/>
      <c r="L91" s="478"/>
      <c r="M91" s="478"/>
      <c r="N91" s="478"/>
      <c r="O91" s="478"/>
      <c r="P91" s="478"/>
      <c r="Q91" s="479"/>
      <c r="R91" s="254"/>
      <c r="S91" s="254"/>
      <c r="T91" s="254"/>
      <c r="U91" s="254"/>
      <c r="V91" s="254"/>
      <c r="W91" s="254"/>
      <c r="X91" s="254"/>
      <c r="Y91" s="254"/>
      <c r="Z91" s="254"/>
      <c r="AA91" s="254"/>
      <c r="AB91" s="254"/>
    </row>
    <row r="92" spans="1:28" s="257" customFormat="1" ht="169.5" customHeight="1" x14ac:dyDescent="0.2">
      <c r="A92" s="258" t="s">
        <v>271</v>
      </c>
      <c r="B92" s="476" t="s">
        <v>341</v>
      </c>
      <c r="C92" s="476"/>
      <c r="D92" s="476"/>
      <c r="E92" s="256">
        <f>E90*40%</f>
        <v>3.2000000000000003E-4</v>
      </c>
      <c r="F92" s="477" t="s">
        <v>342</v>
      </c>
      <c r="G92" s="478"/>
      <c r="H92" s="478"/>
      <c r="I92" s="478"/>
      <c r="J92" s="478"/>
      <c r="K92" s="478"/>
      <c r="L92" s="478"/>
      <c r="M92" s="478"/>
      <c r="N92" s="478"/>
      <c r="O92" s="478"/>
      <c r="P92" s="478"/>
      <c r="Q92" s="479"/>
      <c r="R92" s="254"/>
      <c r="S92" s="254"/>
      <c r="T92" s="254"/>
      <c r="U92" s="254"/>
      <c r="V92" s="254"/>
      <c r="W92" s="254"/>
      <c r="X92" s="254"/>
      <c r="Y92" s="254"/>
      <c r="Z92" s="254"/>
      <c r="AA92" s="254"/>
      <c r="AB92" s="254"/>
    </row>
    <row r="93" spans="1:28" s="257" customFormat="1" ht="175.5" customHeight="1" x14ac:dyDescent="0.2">
      <c r="A93" s="255" t="s">
        <v>283</v>
      </c>
      <c r="B93" s="480" t="s">
        <v>343</v>
      </c>
      <c r="C93" s="480"/>
      <c r="D93" s="480"/>
      <c r="E93" s="256">
        <v>4.0000000000000002E-4</v>
      </c>
      <c r="F93" s="477" t="s">
        <v>344</v>
      </c>
      <c r="G93" s="478"/>
      <c r="H93" s="478"/>
      <c r="I93" s="478"/>
      <c r="J93" s="478"/>
      <c r="K93" s="478"/>
      <c r="L93" s="478"/>
      <c r="M93" s="478"/>
      <c r="N93" s="478"/>
      <c r="O93" s="478"/>
      <c r="P93" s="478"/>
      <c r="Q93" s="479"/>
      <c r="R93" s="254"/>
      <c r="S93" s="254"/>
      <c r="T93" s="254"/>
      <c r="U93" s="254"/>
      <c r="V93" s="254"/>
      <c r="W93" s="254"/>
      <c r="X93" s="254"/>
      <c r="Y93" s="254"/>
      <c r="Z93" s="254"/>
      <c r="AA93" s="254"/>
      <c r="AB93" s="254"/>
    </row>
    <row r="94" spans="1:28" s="257" customFormat="1" ht="53.25" customHeight="1" x14ac:dyDescent="0.2">
      <c r="A94" s="255" t="s">
        <v>286</v>
      </c>
      <c r="B94" s="480" t="s">
        <v>345</v>
      </c>
      <c r="C94" s="480"/>
      <c r="D94" s="480"/>
      <c r="E94" s="256">
        <f>E93*E45</f>
        <v>1.4120000000000002E-4</v>
      </c>
      <c r="F94" s="477" t="s">
        <v>346</v>
      </c>
      <c r="G94" s="478"/>
      <c r="H94" s="478"/>
      <c r="I94" s="478"/>
      <c r="J94" s="478"/>
      <c r="K94" s="478"/>
      <c r="L94" s="478"/>
      <c r="M94" s="478"/>
      <c r="N94" s="478"/>
      <c r="O94" s="478"/>
      <c r="P94" s="478"/>
      <c r="Q94" s="479"/>
      <c r="R94" s="254"/>
      <c r="S94" s="254"/>
      <c r="T94" s="254"/>
      <c r="U94" s="254"/>
      <c r="V94" s="254"/>
      <c r="W94" s="254"/>
      <c r="X94" s="254"/>
      <c r="Y94" s="254"/>
      <c r="Z94" s="254"/>
      <c r="AA94" s="254"/>
      <c r="AB94" s="254"/>
    </row>
    <row r="95" spans="1:28" s="257" customFormat="1" ht="251.25" customHeight="1" x14ac:dyDescent="0.2">
      <c r="A95" s="259" t="s">
        <v>289</v>
      </c>
      <c r="B95" s="484" t="s">
        <v>347</v>
      </c>
      <c r="C95" s="485"/>
      <c r="D95" s="486"/>
      <c r="E95" s="260">
        <v>0.04</v>
      </c>
      <c r="F95" s="487" t="s">
        <v>348</v>
      </c>
      <c r="G95" s="488"/>
      <c r="H95" s="488"/>
      <c r="I95" s="488"/>
      <c r="J95" s="488"/>
      <c r="K95" s="488"/>
      <c r="L95" s="488"/>
      <c r="M95" s="488"/>
      <c r="N95" s="488"/>
      <c r="O95" s="488"/>
      <c r="P95" s="488"/>
      <c r="Q95" s="489"/>
      <c r="R95" s="254">
        <f>(0.08*0.4)*0.847*(1+5/56+5/56+(1/3*5/56))*100</f>
        <v>3.2750666666666657</v>
      </c>
      <c r="S95" s="254"/>
      <c r="T95" s="254"/>
      <c r="U95" s="254"/>
      <c r="V95" s="254"/>
      <c r="W95" s="254"/>
      <c r="X95" s="254"/>
      <c r="Y95" s="254"/>
      <c r="Z95" s="254"/>
      <c r="AA95" s="254"/>
      <c r="AB95" s="254"/>
    </row>
    <row r="96" spans="1:28" s="257" customFormat="1" ht="32.1" customHeight="1" x14ac:dyDescent="0.2">
      <c r="A96" s="490" t="s">
        <v>274</v>
      </c>
      <c r="B96" s="491"/>
      <c r="C96" s="491"/>
      <c r="D96" s="492"/>
      <c r="E96" s="261">
        <f>SUM(E90:E95)</f>
        <v>4.1725200000000004E-2</v>
      </c>
      <c r="F96" s="493"/>
      <c r="G96" s="494"/>
      <c r="H96" s="494"/>
      <c r="I96" s="494"/>
      <c r="J96" s="494"/>
      <c r="K96" s="494"/>
      <c r="L96" s="494"/>
      <c r="M96" s="494"/>
      <c r="N96" s="494"/>
      <c r="O96" s="494"/>
      <c r="P96" s="494"/>
      <c r="Q96" s="495"/>
      <c r="R96" s="254"/>
      <c r="S96" s="254"/>
      <c r="T96" s="254"/>
      <c r="U96" s="254"/>
      <c r="V96" s="254"/>
      <c r="W96" s="254"/>
      <c r="X96" s="254"/>
      <c r="Y96" s="254"/>
      <c r="Z96" s="254"/>
      <c r="AA96" s="254"/>
      <c r="AB96" s="254"/>
    </row>
    <row r="97" spans="1:17" ht="408.95" customHeight="1" x14ac:dyDescent="0.2">
      <c r="A97" s="496" t="s">
        <v>349</v>
      </c>
      <c r="B97" s="496"/>
      <c r="C97" s="496"/>
      <c r="D97" s="496"/>
      <c r="E97" s="496"/>
      <c r="F97" s="496"/>
      <c r="G97" s="496"/>
      <c r="H97" s="496"/>
      <c r="I97" s="496"/>
      <c r="J97" s="496"/>
      <c r="K97" s="496"/>
      <c r="L97" s="496"/>
      <c r="M97" s="496"/>
      <c r="N97" s="496"/>
      <c r="O97" s="496"/>
      <c r="P97" s="496"/>
      <c r="Q97" s="496"/>
    </row>
    <row r="98" spans="1:17" ht="186" customHeight="1" x14ac:dyDescent="0.2">
      <c r="A98" s="496"/>
      <c r="B98" s="496"/>
      <c r="C98" s="496"/>
      <c r="D98" s="496"/>
      <c r="E98" s="496"/>
      <c r="F98" s="496"/>
      <c r="G98" s="496"/>
      <c r="H98" s="496"/>
      <c r="I98" s="496"/>
      <c r="J98" s="496"/>
      <c r="K98" s="496"/>
      <c r="L98" s="496"/>
      <c r="M98" s="496"/>
      <c r="N98" s="496"/>
      <c r="O98" s="496"/>
      <c r="P98" s="496"/>
      <c r="Q98" s="496"/>
    </row>
    <row r="99" spans="1:17" ht="15" customHeight="1" x14ac:dyDescent="0.2">
      <c r="A99" s="497" t="s">
        <v>350</v>
      </c>
      <c r="B99" s="497"/>
      <c r="C99" s="497"/>
      <c r="D99" s="497"/>
      <c r="E99" s="497"/>
      <c r="F99" s="497"/>
      <c r="G99" s="497"/>
      <c r="H99" s="497"/>
      <c r="I99" s="497"/>
      <c r="J99" s="497"/>
      <c r="K99" s="497"/>
      <c r="L99" s="497"/>
      <c r="M99" s="497"/>
      <c r="N99" s="497"/>
      <c r="O99" s="497"/>
      <c r="P99" s="497"/>
      <c r="Q99" s="497"/>
    </row>
    <row r="100" spans="1:17" ht="15" customHeight="1" x14ac:dyDescent="0.2">
      <c r="A100" s="445" t="s">
        <v>351</v>
      </c>
      <c r="B100" s="445"/>
      <c r="C100" s="445"/>
      <c r="D100" s="445"/>
      <c r="E100" s="445"/>
      <c r="F100" s="445"/>
      <c r="G100" s="445"/>
      <c r="H100" s="445"/>
      <c r="I100" s="445"/>
      <c r="J100" s="445"/>
      <c r="K100" s="445"/>
      <c r="L100" s="445"/>
      <c r="M100" s="445"/>
      <c r="N100" s="445"/>
      <c r="O100" s="445"/>
      <c r="P100" s="445"/>
      <c r="Q100" s="445"/>
    </row>
    <row r="101" spans="1:17" s="262" customFormat="1" ht="117" customHeight="1" x14ac:dyDescent="0.2">
      <c r="A101" s="255" t="s">
        <v>266</v>
      </c>
      <c r="B101" s="480" t="s">
        <v>352</v>
      </c>
      <c r="C101" s="480"/>
      <c r="D101" s="480"/>
      <c r="E101" s="256">
        <v>9.2999999999999992E-3</v>
      </c>
      <c r="F101" s="481" t="s">
        <v>424</v>
      </c>
      <c r="G101" s="481"/>
      <c r="H101" s="481"/>
      <c r="I101" s="481"/>
      <c r="J101" s="481"/>
      <c r="K101" s="481"/>
      <c r="L101" s="481"/>
      <c r="M101" s="481"/>
      <c r="N101" s="481"/>
      <c r="O101" s="481"/>
      <c r="P101" s="481"/>
      <c r="Q101" s="481"/>
    </row>
    <row r="102" spans="1:17" s="262" customFormat="1" ht="84.75" customHeight="1" x14ac:dyDescent="0.2">
      <c r="A102" s="255" t="s">
        <v>269</v>
      </c>
      <c r="B102" s="482" t="s">
        <v>353</v>
      </c>
      <c r="C102" s="482"/>
      <c r="D102" s="482"/>
      <c r="E102" s="256">
        <v>2.0000000000000001E-4</v>
      </c>
      <c r="F102" s="483" t="s">
        <v>354</v>
      </c>
      <c r="G102" s="483"/>
      <c r="H102" s="483"/>
      <c r="I102" s="483"/>
      <c r="J102" s="483"/>
      <c r="K102" s="483"/>
      <c r="L102" s="483"/>
      <c r="M102" s="483"/>
      <c r="N102" s="483"/>
      <c r="O102" s="483"/>
      <c r="P102" s="483"/>
      <c r="Q102" s="483"/>
    </row>
    <row r="103" spans="1:17" ht="93" customHeight="1" x14ac:dyDescent="0.2">
      <c r="A103" s="241" t="s">
        <v>271</v>
      </c>
      <c r="B103" s="439" t="s">
        <v>355</v>
      </c>
      <c r="C103" s="439"/>
      <c r="D103" s="439"/>
      <c r="E103" s="242">
        <v>2.0000000000000001E-4</v>
      </c>
      <c r="F103" s="481" t="s">
        <v>356</v>
      </c>
      <c r="G103" s="481"/>
      <c r="H103" s="481"/>
      <c r="I103" s="481"/>
      <c r="J103" s="481"/>
      <c r="K103" s="481"/>
      <c r="L103" s="481"/>
      <c r="M103" s="481"/>
      <c r="N103" s="481"/>
      <c r="O103" s="481"/>
      <c r="P103" s="481"/>
      <c r="Q103" s="481"/>
    </row>
    <row r="104" spans="1:17" ht="79.5" customHeight="1" x14ac:dyDescent="0.2">
      <c r="A104" s="241" t="s">
        <v>283</v>
      </c>
      <c r="B104" s="449" t="s">
        <v>357</v>
      </c>
      <c r="C104" s="449"/>
      <c r="D104" s="449"/>
      <c r="E104" s="242">
        <v>2.0000000000000001E-4</v>
      </c>
      <c r="F104" s="481" t="s">
        <v>358</v>
      </c>
      <c r="G104" s="481"/>
      <c r="H104" s="481"/>
      <c r="I104" s="481"/>
      <c r="J104" s="481"/>
      <c r="K104" s="481"/>
      <c r="L104" s="481"/>
      <c r="M104" s="481"/>
      <c r="N104" s="481"/>
      <c r="O104" s="481"/>
      <c r="P104" s="481"/>
      <c r="Q104" s="481"/>
    </row>
    <row r="105" spans="1:17" ht="102.75" customHeight="1" x14ac:dyDescent="0.2">
      <c r="A105" s="241" t="s">
        <v>286</v>
      </c>
      <c r="B105" s="449" t="s">
        <v>359</v>
      </c>
      <c r="C105" s="449"/>
      <c r="D105" s="449"/>
      <c r="E105" s="242">
        <v>2.0000000000000001E-4</v>
      </c>
      <c r="F105" s="481" t="s">
        <v>360</v>
      </c>
      <c r="G105" s="481"/>
      <c r="H105" s="481"/>
      <c r="I105" s="481"/>
      <c r="J105" s="481"/>
      <c r="K105" s="481"/>
      <c r="L105" s="481"/>
      <c r="M105" s="481"/>
      <c r="N105" s="481"/>
      <c r="O105" s="481"/>
      <c r="P105" s="481"/>
      <c r="Q105" s="481"/>
    </row>
    <row r="106" spans="1:17" s="262" customFormat="1" ht="84.75" customHeight="1" x14ac:dyDescent="0.2">
      <c r="A106" s="255" t="s">
        <v>289</v>
      </c>
      <c r="B106" s="480" t="s">
        <v>436</v>
      </c>
      <c r="C106" s="482"/>
      <c r="D106" s="482"/>
      <c r="E106" s="256">
        <v>0</v>
      </c>
      <c r="F106" s="483" t="s">
        <v>354</v>
      </c>
      <c r="G106" s="483"/>
      <c r="H106" s="483"/>
      <c r="I106" s="483"/>
      <c r="J106" s="483"/>
      <c r="K106" s="483"/>
      <c r="L106" s="483"/>
      <c r="M106" s="483"/>
      <c r="N106" s="483"/>
      <c r="O106" s="483"/>
      <c r="P106" s="483"/>
      <c r="Q106" s="483"/>
    </row>
    <row r="107" spans="1:17" ht="15" customHeight="1" x14ac:dyDescent="0.2">
      <c r="A107" s="503" t="s">
        <v>361</v>
      </c>
      <c r="B107" s="503"/>
      <c r="C107" s="503"/>
      <c r="D107" s="503"/>
      <c r="E107" s="245">
        <f>SUM(E101:E106)</f>
        <v>1.0100000000000001E-2</v>
      </c>
      <c r="F107" s="445" t="s">
        <v>362</v>
      </c>
      <c r="G107" s="445"/>
      <c r="H107" s="445"/>
      <c r="I107" s="445"/>
      <c r="J107" s="445"/>
      <c r="K107" s="445"/>
      <c r="L107" s="445"/>
      <c r="M107" s="445"/>
      <c r="N107" s="445"/>
      <c r="O107" s="445"/>
      <c r="P107" s="445"/>
      <c r="Q107" s="445"/>
    </row>
    <row r="108" spans="1:17" ht="13.5" customHeight="1" x14ac:dyDescent="0.2">
      <c r="A108" s="469"/>
      <c r="B108" s="469"/>
      <c r="C108" s="469"/>
      <c r="D108" s="469"/>
      <c r="E108" s="469"/>
      <c r="F108" s="469"/>
      <c r="G108" s="469"/>
      <c r="H108" s="469"/>
      <c r="I108" s="469"/>
      <c r="J108" s="469"/>
      <c r="K108" s="469"/>
      <c r="L108" s="469"/>
      <c r="M108" s="469"/>
      <c r="N108" s="469"/>
      <c r="O108" s="469"/>
      <c r="P108" s="469"/>
    </row>
    <row r="109" spans="1:17" ht="15" hidden="1" customHeight="1" x14ac:dyDescent="0.2">
      <c r="A109" s="498" t="s">
        <v>363</v>
      </c>
      <c r="B109" s="498"/>
      <c r="C109" s="498"/>
      <c r="D109" s="498"/>
      <c r="E109" s="498"/>
      <c r="F109" s="498"/>
      <c r="G109" s="498"/>
      <c r="H109" s="498"/>
      <c r="I109" s="498"/>
      <c r="J109" s="498"/>
      <c r="K109" s="498"/>
      <c r="L109" s="498"/>
      <c r="M109" s="498"/>
      <c r="N109" s="498"/>
      <c r="O109" s="498"/>
      <c r="P109" s="498"/>
      <c r="Q109" s="498"/>
    </row>
    <row r="110" spans="1:17" ht="4.5" hidden="1" customHeight="1" x14ac:dyDescent="0.2">
      <c r="A110" s="499"/>
      <c r="B110" s="500"/>
      <c r="C110" s="500"/>
      <c r="D110" s="500"/>
      <c r="E110" s="500"/>
      <c r="F110" s="500"/>
      <c r="G110" s="500"/>
      <c r="H110" s="500"/>
      <c r="I110" s="500"/>
      <c r="J110" s="500"/>
      <c r="K110" s="500"/>
      <c r="L110" s="500"/>
      <c r="M110" s="500"/>
      <c r="N110" s="500"/>
      <c r="O110" s="500"/>
      <c r="P110" s="500"/>
      <c r="Q110" s="500"/>
    </row>
    <row r="111" spans="1:17" ht="54" hidden="1" customHeight="1" x14ac:dyDescent="0.2">
      <c r="A111" s="501" t="s">
        <v>364</v>
      </c>
      <c r="B111" s="502"/>
      <c r="C111" s="502"/>
      <c r="D111" s="502"/>
      <c r="E111" s="502"/>
      <c r="F111" s="502"/>
      <c r="G111" s="502"/>
      <c r="H111" s="502"/>
      <c r="I111" s="502"/>
      <c r="J111" s="502"/>
      <c r="K111" s="502"/>
      <c r="L111" s="502"/>
      <c r="M111" s="502"/>
      <c r="N111" s="502"/>
      <c r="O111" s="502"/>
      <c r="P111" s="502"/>
      <c r="Q111" s="502"/>
    </row>
    <row r="112" spans="1:17" ht="37.5" hidden="1" customHeight="1" x14ac:dyDescent="0.2">
      <c r="A112" s="501" t="s">
        <v>365</v>
      </c>
      <c r="B112" s="502"/>
      <c r="C112" s="502"/>
      <c r="D112" s="502"/>
      <c r="E112" s="502"/>
      <c r="F112" s="502"/>
      <c r="G112" s="502"/>
      <c r="H112" s="502"/>
      <c r="I112" s="502"/>
      <c r="J112" s="502"/>
      <c r="K112" s="502"/>
      <c r="L112" s="502"/>
      <c r="M112" s="502"/>
      <c r="N112" s="502"/>
      <c r="O112" s="502"/>
      <c r="P112" s="502"/>
      <c r="Q112" s="502"/>
    </row>
    <row r="113" spans="1:17" ht="37.5" hidden="1" customHeight="1" x14ac:dyDescent="0.2">
      <c r="A113" s="501" t="s">
        <v>366</v>
      </c>
      <c r="B113" s="502"/>
      <c r="C113" s="502"/>
      <c r="D113" s="502"/>
      <c r="E113" s="502"/>
      <c r="F113" s="502"/>
      <c r="G113" s="502"/>
      <c r="H113" s="502"/>
      <c r="I113" s="502"/>
      <c r="J113" s="502"/>
      <c r="K113" s="502"/>
      <c r="L113" s="502"/>
      <c r="M113" s="502"/>
      <c r="N113" s="502"/>
      <c r="O113" s="502"/>
      <c r="P113" s="502"/>
      <c r="Q113" s="502"/>
    </row>
    <row r="114" spans="1:17" ht="66" hidden="1" customHeight="1" x14ac:dyDescent="0.2">
      <c r="A114" s="513" t="s">
        <v>367</v>
      </c>
      <c r="B114" s="514"/>
      <c r="C114" s="514"/>
      <c r="D114" s="514"/>
      <c r="E114" s="514"/>
      <c r="F114" s="514"/>
      <c r="G114" s="514"/>
      <c r="H114" s="514"/>
      <c r="I114" s="514"/>
      <c r="J114" s="514"/>
      <c r="K114" s="514"/>
      <c r="L114" s="514"/>
      <c r="M114" s="514"/>
      <c r="N114" s="514"/>
      <c r="O114" s="514"/>
      <c r="P114" s="514"/>
      <c r="Q114" s="514"/>
    </row>
    <row r="115" spans="1:17" ht="26.25" customHeight="1" x14ac:dyDescent="0.2">
      <c r="A115" s="515" t="s">
        <v>368</v>
      </c>
      <c r="B115" s="516"/>
      <c r="C115" s="516"/>
      <c r="D115" s="516"/>
      <c r="E115" s="516"/>
      <c r="F115" s="516"/>
      <c r="G115" s="516"/>
      <c r="H115" s="516"/>
      <c r="I115" s="516"/>
      <c r="J115" s="516"/>
      <c r="K115" s="516"/>
      <c r="L115" s="516"/>
      <c r="M115" s="516"/>
      <c r="N115" s="516"/>
      <c r="O115" s="516"/>
      <c r="P115" s="516"/>
      <c r="Q115" s="516"/>
    </row>
    <row r="116" spans="1:17" ht="18.75" hidden="1" customHeight="1" x14ac:dyDescent="0.2">
      <c r="A116" s="517" t="s">
        <v>369</v>
      </c>
      <c r="B116" s="517"/>
      <c r="C116" s="517"/>
      <c r="D116" s="517"/>
      <c r="E116" s="517"/>
      <c r="F116" s="517"/>
      <c r="G116" s="517"/>
      <c r="H116" s="517"/>
      <c r="I116" s="517"/>
      <c r="J116" s="517"/>
      <c r="K116" s="517"/>
      <c r="L116" s="517"/>
      <c r="M116" s="517"/>
      <c r="N116" s="517"/>
      <c r="O116" s="517"/>
      <c r="P116" s="517"/>
      <c r="Q116" s="517"/>
    </row>
    <row r="117" spans="1:17" s="264" customFormat="1" ht="18.75" hidden="1" customHeight="1" x14ac:dyDescent="0.25">
      <c r="A117" s="518" t="s">
        <v>370</v>
      </c>
      <c r="B117" s="519"/>
      <c r="C117" s="519"/>
      <c r="D117" s="519"/>
      <c r="E117" s="519"/>
      <c r="F117" s="519"/>
      <c r="G117" s="519"/>
      <c r="H117" s="519"/>
      <c r="I117" s="519"/>
      <c r="J117" s="519"/>
      <c r="K117" s="519"/>
      <c r="L117" s="519"/>
      <c r="M117" s="519"/>
      <c r="N117" s="519"/>
      <c r="O117" s="519"/>
      <c r="P117" s="519"/>
      <c r="Q117" s="519"/>
    </row>
    <row r="118" spans="1:17" s="266" customFormat="1" ht="78.75" hidden="1" customHeight="1" x14ac:dyDescent="0.2">
      <c r="A118" s="246" t="s">
        <v>371</v>
      </c>
      <c r="B118" s="520" t="s">
        <v>372</v>
      </c>
      <c r="C118" s="520"/>
      <c r="D118" s="520"/>
      <c r="E118" s="265" t="s">
        <v>373</v>
      </c>
      <c r="F118" s="246" t="s">
        <v>374</v>
      </c>
      <c r="G118" s="246" t="s">
        <v>375</v>
      </c>
      <c r="H118" s="521" t="s">
        <v>376</v>
      </c>
      <c r="I118" s="521"/>
      <c r="J118" s="520" t="s">
        <v>377</v>
      </c>
      <c r="K118" s="520"/>
      <c r="L118" s="520"/>
      <c r="M118" s="522" t="s">
        <v>378</v>
      </c>
      <c r="N118" s="523"/>
      <c r="O118" s="523"/>
      <c r="P118" s="523"/>
      <c r="Q118" s="524"/>
    </row>
    <row r="119" spans="1:17" s="269" customFormat="1" ht="15" hidden="1" customHeight="1" x14ac:dyDescent="0.2">
      <c r="A119" s="267">
        <v>1</v>
      </c>
      <c r="B119" s="504" t="s">
        <v>379</v>
      </c>
      <c r="C119" s="505"/>
      <c r="D119" s="506"/>
      <c r="E119" s="6" t="s">
        <v>15</v>
      </c>
      <c r="F119" s="8">
        <v>2</v>
      </c>
      <c r="G119" s="268">
        <v>12</v>
      </c>
      <c r="H119" s="507">
        <v>50</v>
      </c>
      <c r="I119" s="508"/>
      <c r="J119" s="507">
        <f>H119*F119</f>
        <v>100</v>
      </c>
      <c r="K119" s="509"/>
      <c r="L119" s="508"/>
      <c r="M119" s="510">
        <f>J119/G119</f>
        <v>8.3333333333333339</v>
      </c>
      <c r="N119" s="511"/>
      <c r="O119" s="511"/>
      <c r="P119" s="511"/>
      <c r="Q119" s="512"/>
    </row>
    <row r="120" spans="1:17" s="269" customFormat="1" ht="15" hidden="1" customHeight="1" x14ac:dyDescent="0.2">
      <c r="A120" s="267">
        <v>2</v>
      </c>
      <c r="B120" s="504" t="s">
        <v>14</v>
      </c>
      <c r="C120" s="505" t="s">
        <v>14</v>
      </c>
      <c r="D120" s="506" t="s">
        <v>14</v>
      </c>
      <c r="E120" s="6" t="s">
        <v>380</v>
      </c>
      <c r="F120" s="8">
        <v>4</v>
      </c>
      <c r="G120" s="268">
        <v>12</v>
      </c>
      <c r="H120" s="507">
        <v>68.89</v>
      </c>
      <c r="I120" s="508">
        <v>68.89</v>
      </c>
      <c r="J120" s="507">
        <f t="shared" ref="J120:J126" si="0">H120*F120</f>
        <v>275.56</v>
      </c>
      <c r="K120" s="509"/>
      <c r="L120" s="508"/>
      <c r="M120" s="510">
        <f t="shared" ref="M120:M126" si="1">J120/G120</f>
        <v>22.963333333333335</v>
      </c>
      <c r="N120" s="511"/>
      <c r="O120" s="511"/>
      <c r="P120" s="511"/>
      <c r="Q120" s="512"/>
    </row>
    <row r="121" spans="1:17" s="269" customFormat="1" ht="15" hidden="1" customHeight="1" x14ac:dyDescent="0.2">
      <c r="A121" s="267">
        <v>3</v>
      </c>
      <c r="B121" s="504" t="s">
        <v>381</v>
      </c>
      <c r="C121" s="505" t="s">
        <v>381</v>
      </c>
      <c r="D121" s="506" t="s">
        <v>381</v>
      </c>
      <c r="E121" s="6" t="s">
        <v>380</v>
      </c>
      <c r="F121" s="8">
        <v>6</v>
      </c>
      <c r="G121" s="268">
        <v>12</v>
      </c>
      <c r="H121" s="507">
        <v>40</v>
      </c>
      <c r="I121" s="508">
        <v>40</v>
      </c>
      <c r="J121" s="507">
        <f t="shared" si="0"/>
        <v>240</v>
      </c>
      <c r="K121" s="509"/>
      <c r="L121" s="508"/>
      <c r="M121" s="510">
        <f t="shared" si="1"/>
        <v>20</v>
      </c>
      <c r="N121" s="511"/>
      <c r="O121" s="511"/>
      <c r="P121" s="511"/>
      <c r="Q121" s="512"/>
    </row>
    <row r="122" spans="1:17" s="269" customFormat="1" ht="15" hidden="1" customHeight="1" x14ac:dyDescent="0.2">
      <c r="A122" s="267">
        <v>4</v>
      </c>
      <c r="B122" s="504" t="s">
        <v>382</v>
      </c>
      <c r="C122" s="505" t="s">
        <v>382</v>
      </c>
      <c r="D122" s="506" t="s">
        <v>382</v>
      </c>
      <c r="E122" s="6" t="s">
        <v>380</v>
      </c>
      <c r="F122" s="8">
        <v>1</v>
      </c>
      <c r="G122" s="268">
        <v>12</v>
      </c>
      <c r="H122" s="507">
        <v>80</v>
      </c>
      <c r="I122" s="508">
        <v>80</v>
      </c>
      <c r="J122" s="507">
        <f t="shared" si="0"/>
        <v>80</v>
      </c>
      <c r="K122" s="509"/>
      <c r="L122" s="508"/>
      <c r="M122" s="510">
        <f t="shared" si="1"/>
        <v>6.666666666666667</v>
      </c>
      <c r="N122" s="511"/>
      <c r="O122" s="511"/>
      <c r="P122" s="511"/>
      <c r="Q122" s="512"/>
    </row>
    <row r="123" spans="1:17" s="269" customFormat="1" ht="15" hidden="1" customHeight="1" x14ac:dyDescent="0.2">
      <c r="A123" s="267">
        <v>5</v>
      </c>
      <c r="B123" s="504" t="s">
        <v>383</v>
      </c>
      <c r="C123" s="505" t="s">
        <v>383</v>
      </c>
      <c r="D123" s="506" t="s">
        <v>383</v>
      </c>
      <c r="E123" s="6" t="s">
        <v>380</v>
      </c>
      <c r="F123" s="8">
        <v>1</v>
      </c>
      <c r="G123" s="268">
        <v>12</v>
      </c>
      <c r="H123" s="507">
        <v>15</v>
      </c>
      <c r="I123" s="508">
        <v>15</v>
      </c>
      <c r="J123" s="507">
        <f t="shared" si="0"/>
        <v>15</v>
      </c>
      <c r="K123" s="509"/>
      <c r="L123" s="508"/>
      <c r="M123" s="510">
        <f t="shared" si="1"/>
        <v>1.25</v>
      </c>
      <c r="N123" s="511"/>
      <c r="O123" s="511"/>
      <c r="P123" s="511"/>
      <c r="Q123" s="512"/>
    </row>
    <row r="124" spans="1:17" s="269" customFormat="1" ht="15" hidden="1" customHeight="1" x14ac:dyDescent="0.2">
      <c r="A124" s="267">
        <v>6</v>
      </c>
      <c r="B124" s="504" t="s">
        <v>384</v>
      </c>
      <c r="C124" s="505" t="s">
        <v>384</v>
      </c>
      <c r="D124" s="506" t="s">
        <v>384</v>
      </c>
      <c r="E124" s="6" t="s">
        <v>380</v>
      </c>
      <c r="F124" s="8">
        <v>2</v>
      </c>
      <c r="G124" s="268">
        <v>12</v>
      </c>
      <c r="H124" s="507">
        <v>22</v>
      </c>
      <c r="I124" s="508">
        <v>22</v>
      </c>
      <c r="J124" s="507">
        <f t="shared" si="0"/>
        <v>44</v>
      </c>
      <c r="K124" s="509"/>
      <c r="L124" s="508"/>
      <c r="M124" s="510">
        <f t="shared" si="1"/>
        <v>3.6666666666666665</v>
      </c>
      <c r="N124" s="511"/>
      <c r="O124" s="511"/>
      <c r="P124" s="511"/>
      <c r="Q124" s="512"/>
    </row>
    <row r="125" spans="1:17" s="269" customFormat="1" ht="15" hidden="1" customHeight="1" x14ac:dyDescent="0.2">
      <c r="A125" s="267">
        <v>7</v>
      </c>
      <c r="B125" s="504" t="s">
        <v>385</v>
      </c>
      <c r="C125" s="505" t="s">
        <v>385</v>
      </c>
      <c r="D125" s="506" t="s">
        <v>385</v>
      </c>
      <c r="E125" s="6" t="s">
        <v>15</v>
      </c>
      <c r="F125" s="8">
        <v>6</v>
      </c>
      <c r="G125" s="268">
        <v>12</v>
      </c>
      <c r="H125" s="507">
        <v>5.57</v>
      </c>
      <c r="I125" s="508">
        <v>5.57</v>
      </c>
      <c r="J125" s="507">
        <f t="shared" si="0"/>
        <v>33.42</v>
      </c>
      <c r="K125" s="509"/>
      <c r="L125" s="508"/>
      <c r="M125" s="510">
        <f t="shared" si="1"/>
        <v>2.7850000000000001</v>
      </c>
      <c r="N125" s="511"/>
      <c r="O125" s="511"/>
      <c r="P125" s="511"/>
      <c r="Q125" s="512"/>
    </row>
    <row r="126" spans="1:17" s="269" customFormat="1" ht="15" hidden="1" customHeight="1" x14ac:dyDescent="0.2">
      <c r="A126" s="267">
        <v>8</v>
      </c>
      <c r="B126" s="504" t="s">
        <v>386</v>
      </c>
      <c r="C126" s="505" t="s">
        <v>386</v>
      </c>
      <c r="D126" s="506" t="s">
        <v>386</v>
      </c>
      <c r="E126" s="6" t="s">
        <v>380</v>
      </c>
      <c r="F126" s="8">
        <v>2</v>
      </c>
      <c r="G126" s="268">
        <v>12</v>
      </c>
      <c r="H126" s="507">
        <v>22</v>
      </c>
      <c r="I126" s="508">
        <v>22</v>
      </c>
      <c r="J126" s="507">
        <f t="shared" si="0"/>
        <v>44</v>
      </c>
      <c r="K126" s="509"/>
      <c r="L126" s="508"/>
      <c r="M126" s="510">
        <f t="shared" si="1"/>
        <v>3.6666666666666665</v>
      </c>
      <c r="N126" s="511"/>
      <c r="O126" s="511"/>
      <c r="P126" s="511"/>
      <c r="Q126" s="512"/>
    </row>
    <row r="127" spans="1:17" s="264" customFormat="1" ht="15.75" hidden="1" x14ac:dyDescent="0.25">
      <c r="A127" s="525" t="s">
        <v>387</v>
      </c>
      <c r="B127" s="526"/>
      <c r="C127" s="526"/>
      <c r="D127" s="526"/>
      <c r="E127" s="526"/>
      <c r="F127" s="526"/>
      <c r="G127" s="527"/>
      <c r="H127" s="525"/>
      <c r="I127" s="527"/>
      <c r="J127" s="528">
        <f>SUM(J119:K126)</f>
        <v>831.9799999999999</v>
      </c>
      <c r="K127" s="529"/>
      <c r="L127" s="530"/>
      <c r="M127" s="531">
        <f>SUM(M119:P126)-0.03</f>
        <v>69.301666666666662</v>
      </c>
      <c r="N127" s="532"/>
      <c r="O127" s="532"/>
      <c r="P127" s="532"/>
      <c r="Q127" s="533"/>
    </row>
    <row r="128" spans="1:17" ht="5.0999999999999996" hidden="1" customHeight="1" x14ac:dyDescent="0.2">
      <c r="A128" s="534"/>
      <c r="B128" s="534"/>
      <c r="C128" s="534"/>
      <c r="D128" s="534"/>
      <c r="E128" s="534"/>
      <c r="F128" s="534"/>
      <c r="G128" s="534"/>
      <c r="H128" s="534"/>
      <c r="I128" s="534"/>
      <c r="J128" s="534"/>
      <c r="K128" s="534"/>
      <c r="L128" s="534"/>
      <c r="M128" s="534"/>
      <c r="N128" s="534"/>
      <c r="O128" s="534"/>
      <c r="P128" s="534"/>
      <c r="Q128" s="262"/>
    </row>
    <row r="129" spans="1:17" ht="31.5" hidden="1" customHeight="1" x14ac:dyDescent="0.2">
      <c r="A129" s="535" t="s">
        <v>388</v>
      </c>
      <c r="B129" s="498"/>
      <c r="C129" s="498"/>
      <c r="D129" s="498"/>
      <c r="E129" s="498"/>
      <c r="F129" s="498"/>
      <c r="G129" s="498"/>
      <c r="H129" s="498"/>
      <c r="I129" s="498"/>
      <c r="J129" s="498"/>
      <c r="K129" s="498"/>
      <c r="L129" s="498"/>
      <c r="M129" s="498"/>
      <c r="N129" s="498"/>
      <c r="O129" s="498"/>
      <c r="P129" s="498"/>
      <c r="Q129" s="498"/>
    </row>
    <row r="130" spans="1:17" ht="6" hidden="1" customHeight="1" x14ac:dyDescent="0.2">
      <c r="A130" s="536" t="s">
        <v>389</v>
      </c>
      <c r="B130" s="517"/>
      <c r="C130" s="517"/>
      <c r="D130" s="517"/>
      <c r="E130" s="517"/>
      <c r="F130" s="517"/>
      <c r="G130" s="517"/>
      <c r="H130" s="517"/>
      <c r="I130" s="517"/>
      <c r="J130" s="517"/>
      <c r="K130" s="517"/>
      <c r="L130" s="517"/>
      <c r="M130" s="517"/>
      <c r="N130" s="517"/>
      <c r="O130" s="517"/>
      <c r="P130" s="517"/>
    </row>
    <row r="131" spans="1:17" ht="6" hidden="1" customHeight="1" x14ac:dyDescent="0.2">
      <c r="A131" s="535" t="s">
        <v>390</v>
      </c>
      <c r="B131" s="498"/>
      <c r="C131" s="498"/>
      <c r="D131" s="498"/>
      <c r="E131" s="498"/>
      <c r="F131" s="498"/>
      <c r="G131" s="498"/>
      <c r="H131" s="498"/>
      <c r="I131" s="498"/>
      <c r="J131" s="498"/>
      <c r="K131" s="498"/>
      <c r="L131" s="498"/>
      <c r="M131" s="498"/>
      <c r="N131" s="498"/>
      <c r="O131" s="498"/>
      <c r="P131" s="498"/>
    </row>
    <row r="132" spans="1:17" hidden="1" x14ac:dyDescent="0.2"/>
    <row r="133" spans="1:17" ht="5.0999999999999996" hidden="1" customHeight="1" x14ac:dyDescent="0.2">
      <c r="A133" s="537"/>
      <c r="B133" s="537"/>
      <c r="C133" s="537"/>
      <c r="D133" s="537"/>
      <c r="E133" s="537"/>
      <c r="F133" s="537"/>
      <c r="G133" s="537"/>
      <c r="H133" s="537"/>
      <c r="I133" s="537"/>
      <c r="J133" s="537"/>
      <c r="K133" s="537"/>
      <c r="L133" s="537"/>
      <c r="M133" s="537"/>
      <c r="N133" s="537"/>
      <c r="O133" s="537"/>
      <c r="P133" s="537"/>
    </row>
    <row r="134" spans="1:17" s="243" customFormat="1" ht="24.95" hidden="1" customHeight="1" x14ac:dyDescent="0.2">
      <c r="A134" s="538" t="s">
        <v>391</v>
      </c>
      <c r="B134" s="536"/>
      <c r="C134" s="536"/>
      <c r="D134" s="536"/>
      <c r="E134" s="536"/>
      <c r="F134" s="536"/>
      <c r="G134" s="536"/>
      <c r="H134" s="536"/>
      <c r="I134" s="536"/>
      <c r="J134" s="536"/>
      <c r="K134" s="536"/>
      <c r="L134" s="536"/>
      <c r="M134" s="536"/>
      <c r="N134" s="536"/>
      <c r="O134" s="536"/>
      <c r="P134" s="536"/>
      <c r="Q134" s="536"/>
    </row>
    <row r="135" spans="1:17" s="269" customFormat="1" ht="19.5" hidden="1" customHeight="1" x14ac:dyDescent="0.2">
      <c r="A135" s="539" t="s">
        <v>392</v>
      </c>
      <c r="B135" s="540"/>
      <c r="C135" s="540"/>
      <c r="D135" s="540"/>
      <c r="E135" s="540"/>
      <c r="F135" s="540"/>
      <c r="G135" s="540"/>
      <c r="H135" s="540"/>
      <c r="I135" s="540"/>
      <c r="J135" s="540"/>
      <c r="K135" s="540"/>
      <c r="L135" s="540"/>
      <c r="M135" s="540"/>
      <c r="N135" s="540"/>
      <c r="O135" s="540"/>
      <c r="P135" s="540"/>
      <c r="Q135" s="540"/>
    </row>
    <row r="136" spans="1:17" s="271" customFormat="1" ht="32.25" hidden="1" customHeight="1" x14ac:dyDescent="0.2">
      <c r="A136" s="541" t="s">
        <v>371</v>
      </c>
      <c r="B136" s="541"/>
      <c r="C136" s="541" t="s">
        <v>393</v>
      </c>
      <c r="D136" s="541"/>
      <c r="E136" s="270" t="s">
        <v>394</v>
      </c>
      <c r="F136" s="270" t="s">
        <v>395</v>
      </c>
      <c r="G136" s="270" t="s">
        <v>396</v>
      </c>
      <c r="H136" s="541" t="s">
        <v>397</v>
      </c>
      <c r="I136" s="541"/>
      <c r="J136" s="541"/>
      <c r="K136" s="541" t="s">
        <v>398</v>
      </c>
      <c r="L136" s="541"/>
      <c r="M136" s="541" t="s">
        <v>399</v>
      </c>
      <c r="N136" s="541"/>
      <c r="O136" s="541"/>
      <c r="P136" s="541"/>
      <c r="Q136" s="541"/>
    </row>
    <row r="137" spans="1:17" s="271" customFormat="1" ht="93" hidden="1" customHeight="1" x14ac:dyDescent="0.2">
      <c r="A137" s="542">
        <v>1</v>
      </c>
      <c r="B137" s="542"/>
      <c r="C137" s="543" t="s">
        <v>400</v>
      </c>
      <c r="D137" s="544"/>
      <c r="E137" s="6" t="s">
        <v>380</v>
      </c>
      <c r="F137" s="8">
        <v>10</v>
      </c>
      <c r="G137" s="6">
        <v>60</v>
      </c>
      <c r="H137" s="507">
        <v>2000</v>
      </c>
      <c r="I137" s="509"/>
      <c r="J137" s="508"/>
      <c r="K137" s="507">
        <f>H137*F137</f>
        <v>20000</v>
      </c>
      <c r="L137" s="508"/>
      <c r="M137" s="545">
        <f>K137/G137</f>
        <v>333.33333333333331</v>
      </c>
      <c r="N137" s="545"/>
      <c r="O137" s="545"/>
      <c r="P137" s="545"/>
      <c r="Q137" s="545"/>
    </row>
    <row r="138" spans="1:17" s="271" customFormat="1" ht="141" hidden="1" customHeight="1" x14ac:dyDescent="0.2">
      <c r="A138" s="542">
        <v>2</v>
      </c>
      <c r="B138" s="542"/>
      <c r="C138" s="543" t="s">
        <v>401</v>
      </c>
      <c r="D138" s="544" t="s">
        <v>401</v>
      </c>
      <c r="E138" s="6" t="s">
        <v>380</v>
      </c>
      <c r="F138" s="8">
        <v>10</v>
      </c>
      <c r="G138" s="6">
        <v>60</v>
      </c>
      <c r="H138" s="507">
        <v>300</v>
      </c>
      <c r="I138" s="509">
        <v>300</v>
      </c>
      <c r="J138" s="508">
        <v>300</v>
      </c>
      <c r="K138" s="507">
        <f t="shared" ref="K138:K146" si="2">H138*F138</f>
        <v>3000</v>
      </c>
      <c r="L138" s="508"/>
      <c r="M138" s="545">
        <f t="shared" ref="M138:M146" si="3">K138/G138</f>
        <v>50</v>
      </c>
      <c r="N138" s="545"/>
      <c r="O138" s="545"/>
      <c r="P138" s="545"/>
      <c r="Q138" s="545"/>
    </row>
    <row r="139" spans="1:17" s="271" customFormat="1" ht="23.25" hidden="1" customHeight="1" x14ac:dyDescent="0.2">
      <c r="A139" s="542">
        <v>3</v>
      </c>
      <c r="B139" s="542"/>
      <c r="C139" s="543" t="s">
        <v>402</v>
      </c>
      <c r="D139" s="544" t="s">
        <v>402</v>
      </c>
      <c r="E139" s="6" t="s">
        <v>380</v>
      </c>
      <c r="F139" s="8">
        <v>33</v>
      </c>
      <c r="G139" s="6">
        <v>12</v>
      </c>
      <c r="H139" s="507">
        <v>50</v>
      </c>
      <c r="I139" s="509">
        <v>50</v>
      </c>
      <c r="J139" s="508">
        <v>50</v>
      </c>
      <c r="K139" s="507">
        <f t="shared" si="2"/>
        <v>1650</v>
      </c>
      <c r="L139" s="508"/>
      <c r="M139" s="545">
        <f t="shared" si="3"/>
        <v>137.5</v>
      </c>
      <c r="N139" s="545"/>
      <c r="O139" s="545"/>
      <c r="P139" s="545"/>
      <c r="Q139" s="545"/>
    </row>
    <row r="140" spans="1:17" s="271" customFormat="1" ht="27" hidden="1" customHeight="1" x14ac:dyDescent="0.2">
      <c r="A140" s="542">
        <v>4</v>
      </c>
      <c r="B140" s="542"/>
      <c r="C140" s="543" t="s">
        <v>403</v>
      </c>
      <c r="D140" s="544" t="s">
        <v>403</v>
      </c>
      <c r="E140" s="6" t="s">
        <v>380</v>
      </c>
      <c r="F140" s="8">
        <v>10</v>
      </c>
      <c r="G140" s="6">
        <v>60</v>
      </c>
      <c r="H140" s="507">
        <v>20</v>
      </c>
      <c r="I140" s="509">
        <v>20</v>
      </c>
      <c r="J140" s="508">
        <v>20</v>
      </c>
      <c r="K140" s="507">
        <f t="shared" si="2"/>
        <v>200</v>
      </c>
      <c r="L140" s="508"/>
      <c r="M140" s="545">
        <f t="shared" si="3"/>
        <v>3.3333333333333335</v>
      </c>
      <c r="N140" s="545"/>
      <c r="O140" s="545"/>
      <c r="P140" s="545"/>
      <c r="Q140" s="545"/>
    </row>
    <row r="141" spans="1:17" s="271" customFormat="1" ht="29.25" hidden="1" customHeight="1" x14ac:dyDescent="0.2">
      <c r="A141" s="542">
        <v>5</v>
      </c>
      <c r="B141" s="542"/>
      <c r="C141" s="543" t="s">
        <v>404</v>
      </c>
      <c r="D141" s="544" t="s">
        <v>404</v>
      </c>
      <c r="E141" s="6" t="s">
        <v>380</v>
      </c>
      <c r="F141" s="8">
        <v>33</v>
      </c>
      <c r="G141" s="6">
        <v>24</v>
      </c>
      <c r="H141" s="507">
        <v>50</v>
      </c>
      <c r="I141" s="509">
        <v>50</v>
      </c>
      <c r="J141" s="508">
        <v>50</v>
      </c>
      <c r="K141" s="507">
        <f t="shared" si="2"/>
        <v>1650</v>
      </c>
      <c r="L141" s="508"/>
      <c r="M141" s="545">
        <f t="shared" si="3"/>
        <v>68.75</v>
      </c>
      <c r="N141" s="545"/>
      <c r="O141" s="545"/>
      <c r="P141" s="545"/>
      <c r="Q141" s="545"/>
    </row>
    <row r="142" spans="1:17" s="271" customFormat="1" ht="62.25" hidden="1" customHeight="1" x14ac:dyDescent="0.2">
      <c r="A142" s="542">
        <v>6</v>
      </c>
      <c r="B142" s="542"/>
      <c r="C142" s="543" t="s">
        <v>405</v>
      </c>
      <c r="D142" s="544" t="s">
        <v>405</v>
      </c>
      <c r="E142" s="6" t="s">
        <v>380</v>
      </c>
      <c r="F142" s="8">
        <v>120</v>
      </c>
      <c r="G142" s="6">
        <v>6</v>
      </c>
      <c r="H142" s="507">
        <v>6</v>
      </c>
      <c r="I142" s="509">
        <v>6</v>
      </c>
      <c r="J142" s="508">
        <v>6</v>
      </c>
      <c r="K142" s="507">
        <f t="shared" si="2"/>
        <v>720</v>
      </c>
      <c r="L142" s="508"/>
      <c r="M142" s="545">
        <f t="shared" si="3"/>
        <v>120</v>
      </c>
      <c r="N142" s="545"/>
      <c r="O142" s="545"/>
      <c r="P142" s="545"/>
      <c r="Q142" s="545"/>
    </row>
    <row r="143" spans="1:17" s="271" customFormat="1" ht="24" hidden="1" customHeight="1" x14ac:dyDescent="0.2">
      <c r="A143" s="542">
        <v>7</v>
      </c>
      <c r="B143" s="542"/>
      <c r="C143" s="543" t="s">
        <v>406</v>
      </c>
      <c r="D143" s="544" t="s">
        <v>406</v>
      </c>
      <c r="E143" s="6" t="s">
        <v>380</v>
      </c>
      <c r="F143" s="8">
        <v>33</v>
      </c>
      <c r="G143" s="6">
        <v>12</v>
      </c>
      <c r="H143" s="507">
        <v>10</v>
      </c>
      <c r="I143" s="509">
        <v>10</v>
      </c>
      <c r="J143" s="508">
        <v>10</v>
      </c>
      <c r="K143" s="507">
        <f t="shared" si="2"/>
        <v>330</v>
      </c>
      <c r="L143" s="508"/>
      <c r="M143" s="545">
        <f t="shared" si="3"/>
        <v>27.5</v>
      </c>
      <c r="N143" s="545"/>
      <c r="O143" s="545"/>
      <c r="P143" s="545"/>
      <c r="Q143" s="545"/>
    </row>
    <row r="144" spans="1:17" s="271" customFormat="1" ht="23.25" hidden="1" customHeight="1" x14ac:dyDescent="0.2">
      <c r="A144" s="542">
        <v>8</v>
      </c>
      <c r="B144" s="542"/>
      <c r="C144" s="543" t="s">
        <v>407</v>
      </c>
      <c r="D144" s="544" t="s">
        <v>407</v>
      </c>
      <c r="E144" s="6" t="s">
        <v>380</v>
      </c>
      <c r="F144" s="8">
        <v>10</v>
      </c>
      <c r="G144" s="6">
        <v>24</v>
      </c>
      <c r="H144" s="507">
        <v>75</v>
      </c>
      <c r="I144" s="509">
        <v>75</v>
      </c>
      <c r="J144" s="508">
        <v>75</v>
      </c>
      <c r="K144" s="507">
        <f t="shared" si="2"/>
        <v>750</v>
      </c>
      <c r="L144" s="508"/>
      <c r="M144" s="545">
        <f t="shared" si="3"/>
        <v>31.25</v>
      </c>
      <c r="N144" s="545"/>
      <c r="O144" s="545"/>
      <c r="P144" s="545"/>
      <c r="Q144" s="545"/>
    </row>
    <row r="145" spans="1:17" s="271" customFormat="1" ht="24" hidden="1" customHeight="1" x14ac:dyDescent="0.2">
      <c r="A145" s="542">
        <v>9</v>
      </c>
      <c r="B145" s="542"/>
      <c r="C145" s="543" t="s">
        <v>408</v>
      </c>
      <c r="D145" s="544" t="s">
        <v>408</v>
      </c>
      <c r="E145" s="6" t="s">
        <v>380</v>
      </c>
      <c r="F145" s="8">
        <v>33</v>
      </c>
      <c r="G145" s="6">
        <v>24</v>
      </c>
      <c r="H145" s="507">
        <v>35</v>
      </c>
      <c r="I145" s="509">
        <v>35</v>
      </c>
      <c r="J145" s="508">
        <v>35</v>
      </c>
      <c r="K145" s="507">
        <f t="shared" si="2"/>
        <v>1155</v>
      </c>
      <c r="L145" s="508"/>
      <c r="M145" s="545">
        <f t="shared" si="3"/>
        <v>48.125</v>
      </c>
      <c r="N145" s="545"/>
      <c r="O145" s="545"/>
      <c r="P145" s="545"/>
      <c r="Q145" s="545"/>
    </row>
    <row r="146" spans="1:17" s="271" customFormat="1" ht="23.25" hidden="1" customHeight="1" x14ac:dyDescent="0.2">
      <c r="A146" s="542">
        <v>10</v>
      </c>
      <c r="B146" s="542"/>
      <c r="C146" s="543" t="s">
        <v>409</v>
      </c>
      <c r="D146" s="544" t="s">
        <v>409</v>
      </c>
      <c r="E146" s="6" t="s">
        <v>380</v>
      </c>
      <c r="F146" s="8">
        <v>4</v>
      </c>
      <c r="G146" s="6">
        <v>6</v>
      </c>
      <c r="H146" s="507">
        <v>10</v>
      </c>
      <c r="I146" s="509">
        <v>10</v>
      </c>
      <c r="J146" s="508">
        <v>10</v>
      </c>
      <c r="K146" s="507">
        <f t="shared" si="2"/>
        <v>40</v>
      </c>
      <c r="L146" s="508"/>
      <c r="M146" s="545">
        <f t="shared" si="3"/>
        <v>6.666666666666667</v>
      </c>
      <c r="N146" s="545"/>
      <c r="O146" s="545"/>
      <c r="P146" s="545"/>
      <c r="Q146" s="545"/>
    </row>
    <row r="147" spans="1:17" s="269" customFormat="1" ht="15" hidden="1" x14ac:dyDescent="0.2">
      <c r="A147" s="546" t="s">
        <v>410</v>
      </c>
      <c r="B147" s="547"/>
      <c r="C147" s="547"/>
      <c r="D147" s="547"/>
      <c r="E147" s="547"/>
      <c r="F147" s="547"/>
      <c r="G147" s="547"/>
      <c r="H147" s="547"/>
      <c r="I147" s="547"/>
      <c r="J147" s="548"/>
      <c r="K147" s="507">
        <f>SUM(K137:L146)</f>
        <v>29495</v>
      </c>
      <c r="L147" s="508"/>
      <c r="M147" s="549">
        <f>SUM(M137:Q146)</f>
        <v>826.45833333333326</v>
      </c>
      <c r="N147" s="549"/>
      <c r="O147" s="549"/>
      <c r="P147" s="549"/>
      <c r="Q147" s="549"/>
    </row>
    <row r="148" spans="1:17" s="269" customFormat="1" ht="15" hidden="1" x14ac:dyDescent="0.2">
      <c r="A148" s="546" t="s">
        <v>411</v>
      </c>
      <c r="B148" s="547"/>
      <c r="C148" s="547"/>
      <c r="D148" s="547"/>
      <c r="E148" s="547"/>
      <c r="F148" s="547"/>
      <c r="G148" s="547"/>
      <c r="H148" s="547"/>
      <c r="I148" s="547"/>
      <c r="J148" s="548"/>
      <c r="K148" s="550">
        <v>33</v>
      </c>
      <c r="L148" s="550"/>
      <c r="M148" s="549">
        <f>M147/K148</f>
        <v>25.044191919191917</v>
      </c>
      <c r="N148" s="549"/>
      <c r="O148" s="549"/>
      <c r="P148" s="549"/>
      <c r="Q148" s="549"/>
    </row>
    <row r="149" spans="1:17" s="253" customFormat="1" ht="5.0999999999999996" hidden="1" customHeight="1" x14ac:dyDescent="0.2">
      <c r="A149" s="498"/>
      <c r="B149" s="498"/>
      <c r="C149" s="498"/>
      <c r="D149" s="498"/>
      <c r="E149" s="498"/>
      <c r="F149" s="498"/>
      <c r="G149" s="498"/>
      <c r="H149" s="498"/>
      <c r="I149" s="498"/>
      <c r="J149" s="498"/>
      <c r="K149" s="498"/>
      <c r="L149" s="498"/>
      <c r="M149" s="498"/>
      <c r="N149" s="498"/>
      <c r="O149" s="498"/>
      <c r="P149" s="498"/>
    </row>
    <row r="150" spans="1:17" s="253" customFormat="1" ht="20.25" hidden="1" customHeight="1" x14ac:dyDescent="0.2">
      <c r="A150" s="263"/>
      <c r="B150" s="263"/>
      <c r="C150" s="263"/>
      <c r="D150" s="263"/>
      <c r="E150" s="263"/>
      <c r="F150" s="263"/>
      <c r="G150" s="263"/>
      <c r="H150" s="263"/>
      <c r="I150" s="263"/>
      <c r="J150" s="263"/>
      <c r="K150" s="263"/>
      <c r="L150" s="263"/>
      <c r="M150" s="263"/>
      <c r="N150" s="263"/>
      <c r="O150" s="263"/>
      <c r="P150" s="263"/>
    </row>
    <row r="151" spans="1:17" s="253" customFormat="1" ht="9.9499999999999993" customHeight="1" x14ac:dyDescent="0.2">
      <c r="A151" s="573"/>
      <c r="B151" s="573"/>
      <c r="C151" s="573"/>
      <c r="D151" s="573"/>
      <c r="E151" s="573"/>
      <c r="F151" s="573"/>
      <c r="G151" s="573"/>
      <c r="H151" s="573"/>
      <c r="I151" s="573"/>
      <c r="J151" s="573"/>
      <c r="K151" s="573"/>
      <c r="L151" s="573"/>
      <c r="M151" s="498"/>
      <c r="N151" s="498"/>
      <c r="O151" s="498"/>
      <c r="P151" s="498"/>
    </row>
    <row r="152" spans="1:17" s="253" customFormat="1" ht="42" customHeight="1" x14ac:dyDescent="0.2">
      <c r="A152" s="574" t="s">
        <v>412</v>
      </c>
      <c r="B152" s="575"/>
      <c r="C152" s="575"/>
      <c r="D152" s="575"/>
      <c r="E152" s="575"/>
      <c r="F152" s="575"/>
      <c r="G152" s="575"/>
      <c r="H152" s="575"/>
      <c r="I152" s="575"/>
      <c r="J152" s="575"/>
      <c r="K152" s="575"/>
      <c r="L152" s="575"/>
      <c r="M152" s="575"/>
      <c r="N152" s="575"/>
      <c r="O152" s="575"/>
      <c r="P152" s="575"/>
      <c r="Q152" s="576"/>
    </row>
    <row r="153" spans="1:17" s="253" customFormat="1" ht="18.75" customHeight="1" x14ac:dyDescent="0.2">
      <c r="A153" s="577" t="s">
        <v>413</v>
      </c>
      <c r="B153" s="578"/>
      <c r="C153" s="578"/>
      <c r="D153" s="578"/>
      <c r="E153" s="578"/>
      <c r="F153" s="578"/>
      <c r="G153" s="578"/>
      <c r="H153" s="578"/>
      <c r="I153" s="578"/>
      <c r="J153" s="578"/>
      <c r="K153" s="578"/>
      <c r="L153" s="578"/>
      <c r="M153" s="578"/>
      <c r="N153" s="578"/>
      <c r="O153" s="578"/>
      <c r="P153" s="578"/>
      <c r="Q153" s="579"/>
    </row>
    <row r="154" spans="1:17" s="253" customFormat="1" ht="35.1" customHeight="1" x14ac:dyDescent="0.2">
      <c r="A154" s="554" t="s">
        <v>414</v>
      </c>
      <c r="B154" s="467"/>
      <c r="C154" s="467"/>
      <c r="D154" s="467"/>
      <c r="E154" s="467"/>
      <c r="F154" s="467"/>
      <c r="G154" s="467"/>
      <c r="H154" s="467"/>
      <c r="I154" s="467"/>
      <c r="J154" s="467"/>
      <c r="K154" s="467"/>
      <c r="L154" s="467"/>
      <c r="M154" s="467"/>
      <c r="N154" s="467"/>
      <c r="O154" s="467"/>
      <c r="P154" s="467"/>
      <c r="Q154" s="468"/>
    </row>
    <row r="155" spans="1:17" s="253" customFormat="1" ht="35.1" customHeight="1" x14ac:dyDescent="0.2">
      <c r="A155" s="555" t="s">
        <v>415</v>
      </c>
      <c r="B155" s="556"/>
      <c r="C155" s="556"/>
      <c r="D155" s="556"/>
      <c r="E155" s="556"/>
      <c r="F155" s="556"/>
      <c r="G155" s="556"/>
      <c r="H155" s="556"/>
      <c r="I155" s="556"/>
      <c r="J155" s="556"/>
      <c r="K155" s="556"/>
      <c r="L155" s="556"/>
      <c r="M155" s="556"/>
      <c r="N155" s="556"/>
      <c r="O155" s="556"/>
      <c r="P155" s="556"/>
      <c r="Q155" s="557"/>
    </row>
    <row r="156" spans="1:17" s="253" customFormat="1" ht="35.1" customHeight="1" x14ac:dyDescent="0.2">
      <c r="A156" s="558"/>
      <c r="B156" s="559"/>
      <c r="C156" s="559"/>
      <c r="D156" s="559"/>
      <c r="E156" s="559"/>
      <c r="F156" s="559"/>
      <c r="G156" s="559"/>
      <c r="H156" s="559"/>
      <c r="I156" s="559"/>
      <c r="J156" s="559"/>
      <c r="K156" s="559"/>
      <c r="L156" s="559"/>
      <c r="M156" s="559"/>
      <c r="N156" s="559"/>
      <c r="O156" s="559"/>
      <c r="P156" s="559"/>
      <c r="Q156" s="560"/>
    </row>
    <row r="157" spans="1:17" s="253" customFormat="1" ht="186.75" customHeight="1" x14ac:dyDescent="0.2">
      <c r="A157" s="561"/>
      <c r="B157" s="562"/>
      <c r="C157" s="562"/>
      <c r="D157" s="562"/>
      <c r="E157" s="562"/>
      <c r="F157" s="562"/>
      <c r="G157" s="562"/>
      <c r="H157" s="562"/>
      <c r="I157" s="562"/>
      <c r="J157" s="562"/>
      <c r="K157" s="562"/>
      <c r="L157" s="562"/>
      <c r="M157" s="562"/>
      <c r="N157" s="562"/>
      <c r="O157" s="562"/>
      <c r="P157" s="562"/>
      <c r="Q157" s="563"/>
    </row>
    <row r="158" spans="1:17" s="253" customFormat="1" ht="13.5" customHeight="1" x14ac:dyDescent="0.2">
      <c r="A158" s="551" t="s">
        <v>416</v>
      </c>
      <c r="B158" s="552"/>
      <c r="C158" s="552"/>
      <c r="D158" s="552"/>
      <c r="E158" s="552"/>
      <c r="F158" s="552"/>
      <c r="G158" s="552"/>
      <c r="H158" s="552"/>
      <c r="I158" s="552"/>
      <c r="J158" s="552"/>
      <c r="K158" s="552"/>
      <c r="L158" s="552"/>
      <c r="M158" s="552"/>
      <c r="N158" s="552"/>
      <c r="O158" s="552"/>
      <c r="P158" s="552"/>
      <c r="Q158" s="553"/>
    </row>
    <row r="159" spans="1:17" s="253" customFormat="1" ht="35.1" customHeight="1" x14ac:dyDescent="0.2">
      <c r="A159" s="554" t="s">
        <v>417</v>
      </c>
      <c r="B159" s="467"/>
      <c r="C159" s="467"/>
      <c r="D159" s="467"/>
      <c r="E159" s="467"/>
      <c r="F159" s="467"/>
      <c r="G159" s="467"/>
      <c r="H159" s="467"/>
      <c r="I159" s="467"/>
      <c r="J159" s="467"/>
      <c r="K159" s="467"/>
      <c r="L159" s="467"/>
      <c r="M159" s="467"/>
      <c r="N159" s="467"/>
      <c r="O159" s="467"/>
      <c r="P159" s="467"/>
      <c r="Q159" s="468"/>
    </row>
    <row r="160" spans="1:17" s="253" customFormat="1" ht="35.1" customHeight="1" x14ac:dyDescent="0.2">
      <c r="A160" s="555" t="s">
        <v>418</v>
      </c>
      <c r="B160" s="556"/>
      <c r="C160" s="556"/>
      <c r="D160" s="556"/>
      <c r="E160" s="556"/>
      <c r="F160" s="556"/>
      <c r="G160" s="556"/>
      <c r="H160" s="556"/>
      <c r="I160" s="556"/>
      <c r="J160" s="556"/>
      <c r="K160" s="556"/>
      <c r="L160" s="556"/>
      <c r="M160" s="556"/>
      <c r="N160" s="556"/>
      <c r="O160" s="556"/>
      <c r="P160" s="556"/>
      <c r="Q160" s="557"/>
    </row>
    <row r="161" spans="1:17" s="253" customFormat="1" ht="35.1" customHeight="1" x14ac:dyDescent="0.2">
      <c r="A161" s="558"/>
      <c r="B161" s="559"/>
      <c r="C161" s="559"/>
      <c r="D161" s="559"/>
      <c r="E161" s="559"/>
      <c r="F161" s="559"/>
      <c r="G161" s="559"/>
      <c r="H161" s="559"/>
      <c r="I161" s="559"/>
      <c r="J161" s="559"/>
      <c r="K161" s="559"/>
      <c r="L161" s="559"/>
      <c r="M161" s="559"/>
      <c r="N161" s="559"/>
      <c r="O161" s="559"/>
      <c r="P161" s="559"/>
      <c r="Q161" s="560"/>
    </row>
    <row r="162" spans="1:17" s="253" customFormat="1" ht="259.5" customHeight="1" x14ac:dyDescent="0.2">
      <c r="A162" s="561"/>
      <c r="B162" s="562"/>
      <c r="C162" s="562"/>
      <c r="D162" s="562"/>
      <c r="E162" s="562"/>
      <c r="F162" s="562"/>
      <c r="G162" s="562"/>
      <c r="H162" s="562"/>
      <c r="I162" s="562"/>
      <c r="J162" s="562"/>
      <c r="K162" s="562"/>
      <c r="L162" s="562"/>
      <c r="M162" s="562"/>
      <c r="N162" s="562"/>
      <c r="O162" s="562"/>
      <c r="P162" s="562"/>
      <c r="Q162" s="563"/>
    </row>
    <row r="163" spans="1:17" s="253" customFormat="1" ht="13.5" customHeight="1" x14ac:dyDescent="0.2">
      <c r="A163" s="469" t="s">
        <v>419</v>
      </c>
      <c r="B163" s="469"/>
      <c r="C163" s="469"/>
      <c r="D163" s="469"/>
      <c r="E163" s="469"/>
      <c r="F163" s="469"/>
      <c r="G163" s="469"/>
      <c r="H163" s="469"/>
      <c r="I163" s="469"/>
      <c r="J163" s="469"/>
      <c r="K163" s="469"/>
      <c r="L163" s="469"/>
      <c r="M163" s="469"/>
      <c r="N163" s="469"/>
      <c r="O163" s="469"/>
      <c r="P163" s="469"/>
      <c r="Q163" s="469"/>
    </row>
    <row r="164" spans="1:17" s="253" customFormat="1" ht="44.25" customHeight="1" x14ac:dyDescent="0.2">
      <c r="A164" s="535" t="s">
        <v>420</v>
      </c>
      <c r="B164" s="498"/>
      <c r="C164" s="498"/>
      <c r="D164" s="498"/>
      <c r="E164" s="498"/>
      <c r="F164" s="498"/>
      <c r="G164" s="498"/>
      <c r="H164" s="498"/>
      <c r="I164" s="498"/>
      <c r="J164" s="498"/>
      <c r="K164" s="498"/>
      <c r="L164" s="498"/>
      <c r="M164" s="498"/>
      <c r="N164" s="498"/>
      <c r="O164" s="498"/>
      <c r="P164" s="498"/>
      <c r="Q164" s="498"/>
    </row>
    <row r="165" spans="1:17" x14ac:dyDescent="0.2">
      <c r="A165" s="564" t="s">
        <v>421</v>
      </c>
      <c r="B165" s="565"/>
      <c r="C165" s="565"/>
      <c r="D165" s="565"/>
      <c r="E165" s="565"/>
      <c r="F165" s="565"/>
      <c r="G165" s="565"/>
      <c r="H165" s="565"/>
      <c r="I165" s="565"/>
      <c r="J165" s="565"/>
      <c r="K165" s="565"/>
      <c r="L165" s="565"/>
      <c r="M165" s="565"/>
      <c r="N165" s="565"/>
      <c r="O165" s="565"/>
      <c r="P165" s="565"/>
      <c r="Q165" s="566"/>
    </row>
    <row r="166" spans="1:17" x14ac:dyDescent="0.2">
      <c r="A166" s="567"/>
      <c r="B166" s="568"/>
      <c r="C166" s="568"/>
      <c r="D166" s="568"/>
      <c r="E166" s="568"/>
      <c r="F166" s="568"/>
      <c r="G166" s="568"/>
      <c r="H166" s="568"/>
      <c r="I166" s="568"/>
      <c r="J166" s="568"/>
      <c r="K166" s="568"/>
      <c r="L166" s="568"/>
      <c r="M166" s="568"/>
      <c r="N166" s="568"/>
      <c r="O166" s="568"/>
      <c r="P166" s="568"/>
      <c r="Q166" s="569"/>
    </row>
    <row r="167" spans="1:17" ht="270" customHeight="1" x14ac:dyDescent="0.2">
      <c r="A167" s="570"/>
      <c r="B167" s="571"/>
      <c r="C167" s="571"/>
      <c r="D167" s="571"/>
      <c r="E167" s="571"/>
      <c r="F167" s="571"/>
      <c r="G167" s="571"/>
      <c r="H167" s="571"/>
      <c r="I167" s="571"/>
      <c r="J167" s="571"/>
      <c r="K167" s="571"/>
      <c r="L167" s="571"/>
      <c r="M167" s="571"/>
      <c r="N167" s="571"/>
      <c r="O167" s="571"/>
      <c r="P167" s="571"/>
      <c r="Q167" s="572"/>
    </row>
  </sheetData>
  <mergeCells count="296">
    <mergeCell ref="A158:Q158"/>
    <mergeCell ref="A159:Q159"/>
    <mergeCell ref="A160:Q162"/>
    <mergeCell ref="A163:Q163"/>
    <mergeCell ref="A164:Q164"/>
    <mergeCell ref="A165:Q167"/>
    <mergeCell ref="A149:P149"/>
    <mergeCell ref="A151:P151"/>
    <mergeCell ref="A152:Q152"/>
    <mergeCell ref="A153:Q153"/>
    <mergeCell ref="A154:Q154"/>
    <mergeCell ref="A155:Q157"/>
    <mergeCell ref="A147:J147"/>
    <mergeCell ref="K147:L147"/>
    <mergeCell ref="M147:Q147"/>
    <mergeCell ref="A148:J148"/>
    <mergeCell ref="K148:L148"/>
    <mergeCell ref="M148:Q148"/>
    <mergeCell ref="A145:B145"/>
    <mergeCell ref="C145:D145"/>
    <mergeCell ref="H145:J145"/>
    <mergeCell ref="K145:L145"/>
    <mergeCell ref="M145:Q145"/>
    <mergeCell ref="A146:B146"/>
    <mergeCell ref="C146:D146"/>
    <mergeCell ref="H146:J146"/>
    <mergeCell ref="K146:L146"/>
    <mergeCell ref="M146:Q146"/>
    <mergeCell ref="A143:B143"/>
    <mergeCell ref="C143:D143"/>
    <mergeCell ref="H143:J143"/>
    <mergeCell ref="K143:L143"/>
    <mergeCell ref="M143:Q143"/>
    <mergeCell ref="A144:B144"/>
    <mergeCell ref="C144:D144"/>
    <mergeCell ref="H144:J144"/>
    <mergeCell ref="K144:L144"/>
    <mergeCell ref="M144:Q144"/>
    <mergeCell ref="A141:B141"/>
    <mergeCell ref="C141:D141"/>
    <mergeCell ref="H141:J141"/>
    <mergeCell ref="K141:L141"/>
    <mergeCell ref="M141:Q141"/>
    <mergeCell ref="A142:B142"/>
    <mergeCell ref="C142:D142"/>
    <mergeCell ref="H142:J142"/>
    <mergeCell ref="K142:L142"/>
    <mergeCell ref="M142:Q142"/>
    <mergeCell ref="A139:B139"/>
    <mergeCell ref="C139:D139"/>
    <mergeCell ref="H139:J139"/>
    <mergeCell ref="K139:L139"/>
    <mergeCell ref="M139:Q139"/>
    <mergeCell ref="A140:B140"/>
    <mergeCell ref="C140:D140"/>
    <mergeCell ref="H140:J140"/>
    <mergeCell ref="K140:L140"/>
    <mergeCell ref="M140:Q140"/>
    <mergeCell ref="A137:B137"/>
    <mergeCell ref="C137:D137"/>
    <mergeCell ref="H137:J137"/>
    <mergeCell ref="K137:L137"/>
    <mergeCell ref="M137:Q137"/>
    <mergeCell ref="A138:B138"/>
    <mergeCell ref="C138:D138"/>
    <mergeCell ref="H138:J138"/>
    <mergeCell ref="K138:L138"/>
    <mergeCell ref="M138:Q138"/>
    <mergeCell ref="A130:P130"/>
    <mergeCell ref="A131:P131"/>
    <mergeCell ref="A133:P133"/>
    <mergeCell ref="A134:Q134"/>
    <mergeCell ref="A135:Q135"/>
    <mergeCell ref="A136:B136"/>
    <mergeCell ref="C136:D136"/>
    <mergeCell ref="H136:J136"/>
    <mergeCell ref="K136:L136"/>
    <mergeCell ref="M136:Q136"/>
    <mergeCell ref="A127:G127"/>
    <mergeCell ref="H127:I127"/>
    <mergeCell ref="J127:L127"/>
    <mergeCell ref="M127:Q127"/>
    <mergeCell ref="A128:P128"/>
    <mergeCell ref="A129:Q129"/>
    <mergeCell ref="B125:D125"/>
    <mergeCell ref="H125:I125"/>
    <mergeCell ref="J125:L125"/>
    <mergeCell ref="M125:Q125"/>
    <mergeCell ref="B126:D126"/>
    <mergeCell ref="H126:I126"/>
    <mergeCell ref="J126:L126"/>
    <mergeCell ref="M126:Q126"/>
    <mergeCell ref="B123:D123"/>
    <mergeCell ref="H123:I123"/>
    <mergeCell ref="J123:L123"/>
    <mergeCell ref="M123:Q123"/>
    <mergeCell ref="B124:D124"/>
    <mergeCell ref="H124:I124"/>
    <mergeCell ref="J124:L124"/>
    <mergeCell ref="M124:Q124"/>
    <mergeCell ref="B121:D121"/>
    <mergeCell ref="H121:I121"/>
    <mergeCell ref="J121:L121"/>
    <mergeCell ref="M121:Q121"/>
    <mergeCell ref="B122:D122"/>
    <mergeCell ref="H122:I122"/>
    <mergeCell ref="J122:L122"/>
    <mergeCell ref="M122:Q122"/>
    <mergeCell ref="B119:D119"/>
    <mergeCell ref="H119:I119"/>
    <mergeCell ref="J119:L119"/>
    <mergeCell ref="M119:Q119"/>
    <mergeCell ref="B120:D120"/>
    <mergeCell ref="H120:I120"/>
    <mergeCell ref="J120:L120"/>
    <mergeCell ref="M120:Q120"/>
    <mergeCell ref="A114:Q114"/>
    <mergeCell ref="A115:Q115"/>
    <mergeCell ref="A116:Q116"/>
    <mergeCell ref="A117:Q117"/>
    <mergeCell ref="B118:D118"/>
    <mergeCell ref="H118:I118"/>
    <mergeCell ref="J118:L118"/>
    <mergeCell ref="M118:Q118"/>
    <mergeCell ref="A108:P108"/>
    <mergeCell ref="A109:Q109"/>
    <mergeCell ref="A110:Q110"/>
    <mergeCell ref="A111:Q111"/>
    <mergeCell ref="A112:Q112"/>
    <mergeCell ref="A113:Q113"/>
    <mergeCell ref="A107:D107"/>
    <mergeCell ref="F107:Q107"/>
    <mergeCell ref="B104:D104"/>
    <mergeCell ref="F104:Q104"/>
    <mergeCell ref="B105:D105"/>
    <mergeCell ref="F105:Q105"/>
    <mergeCell ref="B106:D106"/>
    <mergeCell ref="F106:Q106"/>
    <mergeCell ref="A100:Q100"/>
    <mergeCell ref="B101:D101"/>
    <mergeCell ref="F101:Q101"/>
    <mergeCell ref="B102:D102"/>
    <mergeCell ref="F102:Q102"/>
    <mergeCell ref="B103:D103"/>
    <mergeCell ref="F103:Q103"/>
    <mergeCell ref="B95:D95"/>
    <mergeCell ref="F95:Q95"/>
    <mergeCell ref="A96:D96"/>
    <mergeCell ref="F96:Q96"/>
    <mergeCell ref="A97:Q98"/>
    <mergeCell ref="A99:Q99"/>
    <mergeCell ref="B92:D92"/>
    <mergeCell ref="F92:Q92"/>
    <mergeCell ref="B93:D93"/>
    <mergeCell ref="F93:Q93"/>
    <mergeCell ref="B94:D94"/>
    <mergeCell ref="F94:Q94"/>
    <mergeCell ref="A87:Q87"/>
    <mergeCell ref="A88:Q88"/>
    <mergeCell ref="A89:Q89"/>
    <mergeCell ref="B90:D90"/>
    <mergeCell ref="F90:Q90"/>
    <mergeCell ref="B91:D91"/>
    <mergeCell ref="F91:Q91"/>
    <mergeCell ref="A82:E82"/>
    <mergeCell ref="F82:Q82"/>
    <mergeCell ref="A83:Q83"/>
    <mergeCell ref="A84:Q84"/>
    <mergeCell ref="A85:Q85"/>
    <mergeCell ref="A86:E86"/>
    <mergeCell ref="F86:Q86"/>
    <mergeCell ref="A77:Q77"/>
    <mergeCell ref="A78:E78"/>
    <mergeCell ref="F78:Q78"/>
    <mergeCell ref="A79:Q79"/>
    <mergeCell ref="A80:Q80"/>
    <mergeCell ref="A81:Q81"/>
    <mergeCell ref="A72:Q72"/>
    <mergeCell ref="A73:Q73"/>
    <mergeCell ref="A74:E74"/>
    <mergeCell ref="F74:Q74"/>
    <mergeCell ref="A75:Q75"/>
    <mergeCell ref="A76:Q76"/>
    <mergeCell ref="B70:C70"/>
    <mergeCell ref="D70:E70"/>
    <mergeCell ref="G70:H70"/>
    <mergeCell ref="I70:K70"/>
    <mergeCell ref="L70:Q70"/>
    <mergeCell ref="B71:C71"/>
    <mergeCell ref="D71:E71"/>
    <mergeCell ref="G71:H71"/>
    <mergeCell ref="I71:K71"/>
    <mergeCell ref="L71:Q71"/>
    <mergeCell ref="A64:Q64"/>
    <mergeCell ref="A65:Q65"/>
    <mergeCell ref="A66:Q66"/>
    <mergeCell ref="A67:Q67"/>
    <mergeCell ref="A68:Q68"/>
    <mergeCell ref="B69:C69"/>
    <mergeCell ref="D69:E69"/>
    <mergeCell ref="G69:H69"/>
    <mergeCell ref="I69:K69"/>
    <mergeCell ref="L69:Q69"/>
    <mergeCell ref="A61:K61"/>
    <mergeCell ref="L61:Q61"/>
    <mergeCell ref="A62:K62"/>
    <mergeCell ref="L62:Q62"/>
    <mergeCell ref="A63:K63"/>
    <mergeCell ref="L63:Q63"/>
    <mergeCell ref="A56:Q56"/>
    <mergeCell ref="A57:Q57"/>
    <mergeCell ref="A58:Q58"/>
    <mergeCell ref="A59:C60"/>
    <mergeCell ref="D59:F59"/>
    <mergeCell ref="H59:K59"/>
    <mergeCell ref="L59:Q59"/>
    <mergeCell ref="D60:F60"/>
    <mergeCell ref="H60:K60"/>
    <mergeCell ref="L60:Q60"/>
    <mergeCell ref="A53:K53"/>
    <mergeCell ref="L53:Q53"/>
    <mergeCell ref="A54:K54"/>
    <mergeCell ref="L54:Q54"/>
    <mergeCell ref="A55:K55"/>
    <mergeCell ref="L55:Q55"/>
    <mergeCell ref="A51:C52"/>
    <mergeCell ref="D51:F51"/>
    <mergeCell ref="H51:K51"/>
    <mergeCell ref="L51:Q51"/>
    <mergeCell ref="D52:F52"/>
    <mergeCell ref="H52:K52"/>
    <mergeCell ref="L52:Q52"/>
    <mergeCell ref="A45:D45"/>
    <mergeCell ref="F45:Q45"/>
    <mergeCell ref="A47:Q47"/>
    <mergeCell ref="A48:Q48"/>
    <mergeCell ref="A49:Q49"/>
    <mergeCell ref="A50:C50"/>
    <mergeCell ref="D50:F50"/>
    <mergeCell ref="H50:K50"/>
    <mergeCell ref="L50:Q50"/>
    <mergeCell ref="B42:D42"/>
    <mergeCell ref="F42:Q42"/>
    <mergeCell ref="B43:D43"/>
    <mergeCell ref="F43:Q43"/>
    <mergeCell ref="B44:D44"/>
    <mergeCell ref="F44:Q44"/>
    <mergeCell ref="B39:D39"/>
    <mergeCell ref="F39:Q39"/>
    <mergeCell ref="B40:D40"/>
    <mergeCell ref="F40:Q40"/>
    <mergeCell ref="B41:D41"/>
    <mergeCell ref="F41:Q41"/>
    <mergeCell ref="A35:Q35"/>
    <mergeCell ref="A36:Q36"/>
    <mergeCell ref="B37:D37"/>
    <mergeCell ref="F37:Q37"/>
    <mergeCell ref="B38:D38"/>
    <mergeCell ref="F38:Q38"/>
    <mergeCell ref="B32:D32"/>
    <mergeCell ref="F32:Q32"/>
    <mergeCell ref="B33:D33"/>
    <mergeCell ref="F33:Q33"/>
    <mergeCell ref="A34:D34"/>
    <mergeCell ref="F34:Q34"/>
    <mergeCell ref="A26:Q26"/>
    <mergeCell ref="A27:Q27"/>
    <mergeCell ref="A28:Q28"/>
    <mergeCell ref="A29:Q29"/>
    <mergeCell ref="A30:Q30"/>
    <mergeCell ref="B31:D31"/>
    <mergeCell ref="F31:Q31"/>
    <mergeCell ref="A20:Q20"/>
    <mergeCell ref="A21:Q21"/>
    <mergeCell ref="A22:Q22"/>
    <mergeCell ref="A23:Q23"/>
    <mergeCell ref="A24:Q24"/>
    <mergeCell ref="A25:Q25"/>
    <mergeCell ref="A16:Q16"/>
    <mergeCell ref="A17:Q18"/>
    <mergeCell ref="A19:Q19"/>
    <mergeCell ref="A7:Q7"/>
    <mergeCell ref="A8:Q8"/>
    <mergeCell ref="A9:Q9"/>
    <mergeCell ref="A10:Q10"/>
    <mergeCell ref="A11:Q11"/>
    <mergeCell ref="A12:Q12"/>
    <mergeCell ref="A1:Q1"/>
    <mergeCell ref="A2:Q2"/>
    <mergeCell ref="A3:Q3"/>
    <mergeCell ref="A4:Q4"/>
    <mergeCell ref="A5:Q5"/>
    <mergeCell ref="A6:Q6"/>
    <mergeCell ref="A13:Q13"/>
    <mergeCell ref="A14:Q14"/>
    <mergeCell ref="A15:Q15"/>
  </mergeCells>
  <hyperlinks>
    <hyperlink ref="A7" r:id="rId1" display="http://www.planalto.gov.br/ccivil_03/decreto-lei/Del5452.htm" xr:uid="{7084909A-DFB8-4AFE-B85D-E5E759B7BB24}"/>
    <hyperlink ref="A10" r:id="rId2" display="http://www.planalto.gov.br/ccivil_03/decreto-lei/Del5452.htm" xr:uid="{724A48FF-8148-4CE5-9952-D6B002721F74}"/>
    <hyperlink ref="A14" r:id="rId3" display="http://www.planalto.gov.br/ccivil_03/decreto-lei/Del5452.htm" xr:uid="{B33CF0A7-40CA-4399-9511-1EDE7C4C8BA2}"/>
    <hyperlink ref="A21" r:id="rId4" display="http://www.planalto.gov.br/ccivil_03/decreto-lei/Del5452.htm" xr:uid="{B7939F55-A7F6-4EE5-8A78-9DB8C59C95A0}"/>
    <hyperlink ref="A24" r:id="rId5" display="http://www.planalto.gov.br/ccivil_03/decreto-lei/Del5452.htm" xr:uid="{F088E66F-5F54-4379-80BB-BEACB06FDA4D}"/>
    <hyperlink ref="A26" r:id="rId6" display="http://www.planalto.gov.br/ccivil_03/decreto-lei/Del5452.htm" xr:uid="{FABB6C35-57B6-43AE-A180-1FBE2C2A67C8}"/>
    <hyperlink ref="F40" r:id="rId7" display="http://www.planalto.gov.br/ccivil_03/_Ato2019-2022/2020/Mpv/mpv932.htm" xr:uid="{3B89B340-F2A0-4318-A243-BC35756A560A}"/>
    <hyperlink ref="F41" r:id="rId8" display="http://www.planalto.gov.br/ccivil_03/_Ato2019-2022/2020/Mpv/mpv932.htm" xr:uid="{3022FB9A-A376-4857-9B07-99433ACD1EDB}"/>
    <hyperlink ref="A114" r:id="rId9" display="http://www.planalto.gov.br/ccivil_03/decreto-lei/Del5452.htm" xr:uid="{26C30F29-7CBA-4ACC-96A0-39B645532000}"/>
  </hyperlinks>
  <printOptions horizontalCentered="1" verticalCentered="1"/>
  <pageMargins left="0.70866141732283472" right="0.70866141732283472" top="0.74803149606299213" bottom="0.74803149606299213" header="0.31496062992125984" footer="0.31496062992125984"/>
  <pageSetup paperSize="9" scale="55" orientation="portrait" r:id="rId10"/>
  <rowBreaks count="5" manualBreakCount="5">
    <brk id="28" max="16" man="1"/>
    <brk id="46" max="16" man="1"/>
    <brk id="87" max="16" man="1"/>
    <brk id="108" max="16" man="1"/>
    <brk id="114" max="16" man="1"/>
  </rowBreaks>
  <colBreaks count="1" manualBreakCount="1">
    <brk id="17" max="16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41"/>
  <sheetViews>
    <sheetView showGridLines="0" topLeftCell="A63" zoomScale="80" zoomScaleNormal="80" workbookViewId="0">
      <selection activeCell="B61" sqref="B61"/>
    </sheetView>
  </sheetViews>
  <sheetFormatPr defaultColWidth="8.5703125" defaultRowHeight="12.75" x14ac:dyDescent="0.2"/>
  <cols>
    <col min="1" max="1" width="73.140625" style="12" customWidth="1"/>
    <col min="2" max="2" width="15.28515625" style="12" customWidth="1"/>
    <col min="3" max="3" width="15.5703125" style="12" customWidth="1"/>
    <col min="4" max="7" width="16.42578125" style="12" customWidth="1"/>
    <col min="8" max="9" width="10.7109375" style="12" customWidth="1"/>
    <col min="10" max="16384" width="8.5703125" style="12"/>
  </cols>
  <sheetData>
    <row r="1" spans="1:7" ht="23.25" x14ac:dyDescent="0.2">
      <c r="A1" s="594" t="s">
        <v>0</v>
      </c>
      <c r="B1" s="594"/>
      <c r="C1" s="594"/>
      <c r="D1" s="594"/>
    </row>
    <row r="2" spans="1:7" ht="16.7" customHeight="1" x14ac:dyDescent="0.2">
      <c r="A2" s="600" t="str">
        <f>Resumo!A1</f>
        <v>Planilha Estimativa de Custos e Formação de Preços para Serviços de Vigilância - Administração Central do INSS em Brasília/DF</v>
      </c>
      <c r="B2" s="600"/>
      <c r="C2" s="600"/>
      <c r="D2" s="600"/>
      <c r="E2" s="600"/>
      <c r="F2" s="174"/>
      <c r="G2" s="174"/>
    </row>
    <row r="3" spans="1:7" ht="15" x14ac:dyDescent="0.2">
      <c r="A3" s="13"/>
      <c r="B3" s="13"/>
      <c r="C3" s="13"/>
      <c r="D3" s="14"/>
    </row>
    <row r="4" spans="1:7" ht="15" x14ac:dyDescent="0.2">
      <c r="A4" s="15" t="s">
        <v>20</v>
      </c>
      <c r="B4" s="595" t="s">
        <v>120</v>
      </c>
      <c r="C4" s="596"/>
      <c r="D4" s="596"/>
      <c r="E4" s="597"/>
      <c r="F4" s="221"/>
      <c r="G4" s="221"/>
    </row>
    <row r="5" spans="1:7" ht="15" x14ac:dyDescent="0.2">
      <c r="A5" s="15" t="s">
        <v>21</v>
      </c>
      <c r="B5" s="598"/>
      <c r="C5" s="598"/>
      <c r="D5" s="598"/>
      <c r="E5" s="598"/>
      <c r="F5" s="222"/>
      <c r="G5" s="222"/>
    </row>
    <row r="6" spans="1:7" ht="15" x14ac:dyDescent="0.2">
      <c r="A6" s="15" t="s">
        <v>22</v>
      </c>
      <c r="B6" s="599"/>
      <c r="C6" s="599"/>
      <c r="D6" s="599"/>
      <c r="E6" s="599"/>
      <c r="F6" s="223"/>
      <c r="G6" s="223"/>
    </row>
    <row r="7" spans="1:7" ht="15" x14ac:dyDescent="0.2">
      <c r="A7" s="15"/>
      <c r="B7" s="16"/>
      <c r="C7" s="16"/>
      <c r="D7" s="17"/>
      <c r="E7" s="18"/>
      <c r="F7" s="18"/>
      <c r="G7" s="18"/>
    </row>
    <row r="8" spans="1:7" ht="15" x14ac:dyDescent="0.25">
      <c r="A8" s="19" t="s">
        <v>23</v>
      </c>
      <c r="B8" s="20"/>
      <c r="C8" s="21"/>
      <c r="D8" s="17"/>
      <c r="E8" s="18"/>
      <c r="F8" s="18"/>
      <c r="G8" s="18"/>
    </row>
    <row r="9" spans="1:7" ht="15.75" x14ac:dyDescent="0.2">
      <c r="A9" s="22" t="s">
        <v>129</v>
      </c>
      <c r="B9" s="601"/>
      <c r="C9" s="601"/>
      <c r="D9" s="601"/>
      <c r="E9" s="601"/>
      <c r="F9" s="224"/>
      <c r="G9" s="224"/>
    </row>
    <row r="10" spans="1:7" ht="15.75" x14ac:dyDescent="0.2">
      <c r="A10" s="22" t="s">
        <v>130</v>
      </c>
      <c r="B10" s="602" t="s">
        <v>24</v>
      </c>
      <c r="C10" s="602"/>
      <c r="D10" s="602"/>
      <c r="E10" s="602"/>
      <c r="F10" s="26"/>
      <c r="G10" s="26"/>
    </row>
    <row r="11" spans="1:7" ht="15.75" x14ac:dyDescent="0.2">
      <c r="A11" s="23" t="s">
        <v>131</v>
      </c>
      <c r="B11" s="602">
        <v>2023</v>
      </c>
      <c r="C11" s="602"/>
      <c r="D11" s="602"/>
      <c r="E11" s="602"/>
      <c r="F11" s="26"/>
      <c r="G11" s="26"/>
    </row>
    <row r="12" spans="1:7" ht="15.75" x14ac:dyDescent="0.2">
      <c r="A12" s="22" t="s">
        <v>132</v>
      </c>
      <c r="B12" s="602">
        <v>12</v>
      </c>
      <c r="C12" s="602"/>
      <c r="D12" s="602"/>
      <c r="E12" s="602"/>
      <c r="F12" s="26"/>
      <c r="G12" s="26"/>
    </row>
    <row r="13" spans="1:7" ht="15" x14ac:dyDescent="0.25">
      <c r="A13" s="24"/>
      <c r="B13" s="25"/>
      <c r="C13" s="26"/>
      <c r="D13" s="17"/>
      <c r="E13" s="18"/>
      <c r="F13" s="18"/>
      <c r="G13" s="18"/>
    </row>
    <row r="14" spans="1:7" ht="14.25" customHeight="1" x14ac:dyDescent="0.2">
      <c r="A14" s="583" t="s">
        <v>25</v>
      </c>
      <c r="B14" s="583"/>
      <c r="C14" s="583"/>
      <c r="D14" s="583"/>
      <c r="E14" s="583"/>
      <c r="F14" s="225"/>
      <c r="G14" s="225"/>
    </row>
    <row r="15" spans="1:7" ht="60" x14ac:dyDescent="0.2">
      <c r="A15" s="27" t="s">
        <v>26</v>
      </c>
      <c r="B15" s="27" t="s">
        <v>27</v>
      </c>
      <c r="C15" s="27" t="s">
        <v>239</v>
      </c>
      <c r="D15" s="27" t="s">
        <v>102</v>
      </c>
      <c r="E15" s="27" t="s">
        <v>103</v>
      </c>
      <c r="F15" s="27" t="s">
        <v>103</v>
      </c>
      <c r="G15" s="27" t="s">
        <v>103</v>
      </c>
    </row>
    <row r="16" spans="1:7" ht="57" customHeight="1" x14ac:dyDescent="0.2">
      <c r="A16" s="28" t="str">
        <f>Resumo!A6</f>
        <v>Contratação de serviços de segurança e vigilância orgânica e patrimonial desarmada, visando atender as demandas da Administração Central do INSS em Brasília/DF, conforme condições, quantidades e exigências estabelecidas neste instrumento convocatório.</v>
      </c>
      <c r="B16" s="29" t="s">
        <v>104</v>
      </c>
      <c r="C16" s="30">
        <f>Proposta!F20</f>
        <v>1</v>
      </c>
      <c r="D16" s="30">
        <f>Proposta!F21</f>
        <v>10</v>
      </c>
      <c r="E16" s="30">
        <f>Proposta!F22</f>
        <v>11</v>
      </c>
      <c r="F16" s="30">
        <f>Proposta!F23</f>
        <v>1</v>
      </c>
      <c r="G16" s="30">
        <f>Proposta!F24</f>
        <v>1</v>
      </c>
    </row>
    <row r="17" spans="1:7" ht="15" x14ac:dyDescent="0.25">
      <c r="A17" s="31"/>
      <c r="B17" s="32"/>
      <c r="C17" s="33"/>
      <c r="D17" s="14"/>
    </row>
    <row r="18" spans="1:7" ht="15" x14ac:dyDescent="0.25">
      <c r="A18" s="31"/>
      <c r="B18" s="32"/>
      <c r="C18" s="33"/>
      <c r="D18" s="14"/>
    </row>
    <row r="19" spans="1:7" ht="16.7" customHeight="1" x14ac:dyDescent="0.2">
      <c r="A19" s="583" t="s">
        <v>28</v>
      </c>
      <c r="B19" s="583"/>
      <c r="C19" s="583"/>
      <c r="D19" s="583"/>
      <c r="E19" s="583"/>
      <c r="F19" s="225"/>
      <c r="G19" s="225"/>
    </row>
    <row r="20" spans="1:7" ht="16.7" customHeight="1" x14ac:dyDescent="0.2">
      <c r="A20" s="603" t="s">
        <v>29</v>
      </c>
      <c r="B20" s="603"/>
      <c r="C20" s="603"/>
      <c r="D20" s="603"/>
      <c r="E20" s="603"/>
      <c r="F20" s="226"/>
      <c r="G20" s="226"/>
    </row>
    <row r="21" spans="1:7" ht="15.75" x14ac:dyDescent="0.2">
      <c r="A21" s="34" t="s">
        <v>133</v>
      </c>
      <c r="B21" s="586" t="s">
        <v>30</v>
      </c>
      <c r="C21" s="586"/>
      <c r="D21" s="586"/>
      <c r="E21" s="586"/>
      <c r="F21" s="141"/>
      <c r="G21" s="141"/>
    </row>
    <row r="22" spans="1:7" ht="15.75" x14ac:dyDescent="0.2">
      <c r="A22" s="34" t="s">
        <v>134</v>
      </c>
      <c r="B22" s="586" t="s">
        <v>144</v>
      </c>
      <c r="C22" s="586"/>
      <c r="D22" s="586"/>
      <c r="E22" s="586"/>
      <c r="F22" s="141"/>
      <c r="G22" s="141"/>
    </row>
    <row r="23" spans="1:7" ht="15.75" x14ac:dyDescent="0.2">
      <c r="A23" s="35" t="s">
        <v>135</v>
      </c>
      <c r="B23" s="587">
        <v>2593.73</v>
      </c>
      <c r="C23" s="587"/>
      <c r="D23" s="587"/>
      <c r="E23" s="587"/>
      <c r="F23" s="227"/>
      <c r="G23" s="227"/>
    </row>
    <row r="24" spans="1:7" ht="15.75" x14ac:dyDescent="0.2">
      <c r="A24" s="35" t="s">
        <v>136</v>
      </c>
      <c r="B24" s="586" t="s">
        <v>31</v>
      </c>
      <c r="C24" s="586"/>
      <c r="D24" s="586"/>
      <c r="E24" s="586"/>
      <c r="F24" s="141"/>
      <c r="G24" s="141"/>
    </row>
    <row r="25" spans="1:7" ht="15.75" x14ac:dyDescent="0.2">
      <c r="A25" s="35" t="s">
        <v>137</v>
      </c>
      <c r="B25" s="588" t="s">
        <v>32</v>
      </c>
      <c r="C25" s="588"/>
      <c r="D25" s="588"/>
      <c r="E25" s="588"/>
      <c r="F25" s="228"/>
      <c r="G25" s="228"/>
    </row>
    <row r="26" spans="1:7" ht="15.75" x14ac:dyDescent="0.2">
      <c r="A26" s="35" t="s">
        <v>138</v>
      </c>
      <c r="B26" s="588" t="s">
        <v>105</v>
      </c>
      <c r="C26" s="588"/>
      <c r="D26" s="588"/>
      <c r="E26" s="588"/>
      <c r="F26" s="228"/>
      <c r="G26" s="228"/>
    </row>
    <row r="27" spans="1:7" ht="15" x14ac:dyDescent="0.2">
      <c r="A27" s="36"/>
      <c r="B27" s="37"/>
      <c r="C27" s="38"/>
      <c r="D27" s="14"/>
    </row>
    <row r="28" spans="1:7" ht="45" x14ac:dyDescent="0.2">
      <c r="A28" s="39" t="s">
        <v>33</v>
      </c>
      <c r="B28" s="39" t="s">
        <v>34</v>
      </c>
      <c r="C28" s="39" t="s">
        <v>188</v>
      </c>
      <c r="D28" s="39" t="s">
        <v>189</v>
      </c>
      <c r="E28" s="39" t="s">
        <v>190</v>
      </c>
      <c r="F28" s="39" t="s">
        <v>191</v>
      </c>
      <c r="G28" s="39" t="s">
        <v>192</v>
      </c>
    </row>
    <row r="29" spans="1:7" ht="16.7" customHeight="1" x14ac:dyDescent="0.2">
      <c r="A29" s="583" t="s">
        <v>35</v>
      </c>
      <c r="B29" s="583"/>
      <c r="C29" s="583"/>
      <c r="D29" s="583"/>
      <c r="E29" s="583"/>
      <c r="F29" s="225"/>
      <c r="G29" s="225"/>
    </row>
    <row r="30" spans="1:7" ht="30" x14ac:dyDescent="0.2">
      <c r="A30" s="40" t="s">
        <v>36</v>
      </c>
      <c r="B30" s="41" t="s">
        <v>37</v>
      </c>
      <c r="C30" s="42" t="s">
        <v>19</v>
      </c>
      <c r="D30" s="42" t="s">
        <v>19</v>
      </c>
      <c r="E30" s="42" t="s">
        <v>19</v>
      </c>
      <c r="F30" s="114" t="s">
        <v>19</v>
      </c>
      <c r="G30" s="114" t="s">
        <v>19</v>
      </c>
    </row>
    <row r="31" spans="1:7" ht="15" x14ac:dyDescent="0.25">
      <c r="A31" s="43" t="s">
        <v>106</v>
      </c>
      <c r="B31" s="44">
        <f>B23</f>
        <v>2593.73</v>
      </c>
      <c r="C31" s="45">
        <v>3111.12</v>
      </c>
      <c r="D31" s="45">
        <f>B31</f>
        <v>2593.73</v>
      </c>
      <c r="E31" s="45">
        <f>B31</f>
        <v>2593.73</v>
      </c>
      <c r="F31" s="45">
        <f>E31</f>
        <v>2593.73</v>
      </c>
      <c r="G31" s="45">
        <f>B31</f>
        <v>2593.73</v>
      </c>
    </row>
    <row r="32" spans="1:7" ht="15" x14ac:dyDescent="0.25">
      <c r="A32" s="43" t="s">
        <v>107</v>
      </c>
      <c r="B32" s="46">
        <v>0.3</v>
      </c>
      <c r="C32" s="47">
        <f>C31*B32</f>
        <v>933.3359999999999</v>
      </c>
      <c r="D32" s="47">
        <f>D31*B32</f>
        <v>778.11900000000003</v>
      </c>
      <c r="E32" s="47">
        <f>E31*B32</f>
        <v>778.11900000000003</v>
      </c>
      <c r="F32" s="47">
        <f>F31*B32</f>
        <v>778.11900000000003</v>
      </c>
      <c r="G32" s="47">
        <f>G31*B32</f>
        <v>778.11900000000003</v>
      </c>
    </row>
    <row r="33" spans="1:7" ht="15" x14ac:dyDescent="0.25">
      <c r="A33" s="43" t="s">
        <v>38</v>
      </c>
      <c r="B33" s="46"/>
      <c r="C33" s="47"/>
      <c r="D33" s="47"/>
      <c r="E33" s="47"/>
      <c r="F33" s="47"/>
      <c r="G33" s="47"/>
    </row>
    <row r="34" spans="1:7" ht="15" x14ac:dyDescent="0.25">
      <c r="A34" s="43" t="s">
        <v>39</v>
      </c>
      <c r="B34" s="46">
        <v>0.2</v>
      </c>
      <c r="C34" s="47">
        <v>0</v>
      </c>
      <c r="D34" s="47">
        <v>0</v>
      </c>
      <c r="E34" s="47">
        <f>ROUND(((E31+E32)/220)*B34*7*15,2)</f>
        <v>321.86</v>
      </c>
      <c r="F34" s="47">
        <f>ROUND(((F31+F32+F37)/220)*B34*7*15,2)</f>
        <v>354.04</v>
      </c>
      <c r="G34" s="47">
        <f>ROUND(((G31+G32)/220)*D34*7*30/2,2)</f>
        <v>0</v>
      </c>
    </row>
    <row r="35" spans="1:7" ht="15" x14ac:dyDescent="0.25">
      <c r="A35" s="43" t="s">
        <v>40</v>
      </c>
      <c r="B35" s="48"/>
      <c r="C35" s="47">
        <v>0</v>
      </c>
      <c r="D35" s="47">
        <v>0</v>
      </c>
      <c r="E35" s="169">
        <f>ROUND(((E31+E32)/220)*(B34)*30/2,2)</f>
        <v>45.98</v>
      </c>
      <c r="F35" s="169">
        <f>ROUND(((F31+F32+F37)/220)*(B34)*30/2,2)</f>
        <v>50.58</v>
      </c>
      <c r="G35" s="169">
        <f>ROUND(((G31+G32)/220)*(D34)*30/2,2)</f>
        <v>0</v>
      </c>
    </row>
    <row r="36" spans="1:7" ht="15" x14ac:dyDescent="0.25">
      <c r="A36" s="49" t="s">
        <v>41</v>
      </c>
      <c r="B36" s="50"/>
      <c r="C36" s="47">
        <v>0</v>
      </c>
      <c r="D36" s="47">
        <v>0</v>
      </c>
      <c r="E36" s="47">
        <v>0</v>
      </c>
      <c r="F36" s="47">
        <v>0</v>
      </c>
      <c r="G36" s="47">
        <v>0</v>
      </c>
    </row>
    <row r="37" spans="1:7" ht="15" x14ac:dyDescent="0.25">
      <c r="A37" s="43" t="s">
        <v>42</v>
      </c>
      <c r="B37" s="51"/>
      <c r="C37" s="47">
        <v>0</v>
      </c>
      <c r="D37" s="47">
        <v>0</v>
      </c>
      <c r="E37" s="47">
        <v>0</v>
      </c>
      <c r="F37" s="47">
        <f>(F31+F32)*10%</f>
        <v>337.18490000000003</v>
      </c>
      <c r="G37" s="47">
        <v>0</v>
      </c>
    </row>
    <row r="38" spans="1:7" ht="15" x14ac:dyDescent="0.2">
      <c r="A38" s="52" t="s">
        <v>18</v>
      </c>
      <c r="B38" s="53"/>
      <c r="C38" s="54">
        <f>ROUND(SUM(C31:C37),2)</f>
        <v>4044.46</v>
      </c>
      <c r="D38" s="54">
        <f>ROUND(SUM(D31:D37),2)</f>
        <v>3371.85</v>
      </c>
      <c r="E38" s="54">
        <f>ROUND(SUM(E31:E37),2)</f>
        <v>3739.69</v>
      </c>
      <c r="F38" s="54">
        <f>ROUND(SUM(F31:F37),2)</f>
        <v>4113.6499999999996</v>
      </c>
      <c r="G38" s="54">
        <f>ROUND(SUM(G31:G37),2)</f>
        <v>3371.85</v>
      </c>
    </row>
    <row r="39" spans="1:7" ht="15" x14ac:dyDescent="0.2">
      <c r="A39" s="36"/>
      <c r="B39" s="37"/>
      <c r="C39" s="38"/>
      <c r="D39" s="14"/>
    </row>
    <row r="40" spans="1:7" ht="16.7" customHeight="1" x14ac:dyDescent="0.2">
      <c r="A40" s="583" t="s">
        <v>43</v>
      </c>
      <c r="B40" s="583"/>
      <c r="C40" s="583"/>
      <c r="D40" s="583"/>
      <c r="E40" s="583"/>
      <c r="F40" s="225"/>
      <c r="G40" s="225"/>
    </row>
    <row r="41" spans="1:7" ht="15" x14ac:dyDescent="0.2">
      <c r="A41" s="55" t="s">
        <v>44</v>
      </c>
      <c r="B41" s="56" t="s">
        <v>45</v>
      </c>
      <c r="C41" s="56" t="s">
        <v>19</v>
      </c>
      <c r="D41" s="56" t="s">
        <v>19</v>
      </c>
      <c r="E41" s="56" t="s">
        <v>19</v>
      </c>
      <c r="F41" s="56" t="s">
        <v>19</v>
      </c>
      <c r="G41" s="56" t="s">
        <v>19</v>
      </c>
    </row>
    <row r="42" spans="1:7" ht="15" x14ac:dyDescent="0.2">
      <c r="A42" s="43" t="s">
        <v>46</v>
      </c>
      <c r="B42" s="46">
        <f>1/12</f>
        <v>8.3333333333333329E-2</v>
      </c>
      <c r="C42" s="57">
        <f>ROUND($B42*C$38,2)</f>
        <v>337.04</v>
      </c>
      <c r="D42" s="57">
        <f t="shared" ref="D42:G43" si="0">ROUND($B42*D$38,2)</f>
        <v>280.99</v>
      </c>
      <c r="E42" s="57">
        <f t="shared" si="0"/>
        <v>311.64</v>
      </c>
      <c r="F42" s="57">
        <f t="shared" si="0"/>
        <v>342.8</v>
      </c>
      <c r="G42" s="57">
        <f t="shared" si="0"/>
        <v>280.99</v>
      </c>
    </row>
    <row r="43" spans="1:7" ht="27.75" x14ac:dyDescent="0.2">
      <c r="A43" s="43" t="s">
        <v>139</v>
      </c>
      <c r="B43" s="46">
        <v>0.1111</v>
      </c>
      <c r="C43" s="57">
        <f>ROUND($B43*C$38,2)</f>
        <v>449.34</v>
      </c>
      <c r="D43" s="57">
        <f t="shared" si="0"/>
        <v>374.61</v>
      </c>
      <c r="E43" s="57">
        <f t="shared" si="0"/>
        <v>415.48</v>
      </c>
      <c r="F43" s="57">
        <f t="shared" si="0"/>
        <v>457.03</v>
      </c>
      <c r="G43" s="57">
        <f t="shared" si="0"/>
        <v>374.61</v>
      </c>
    </row>
    <row r="44" spans="1:7" ht="15" x14ac:dyDescent="0.2">
      <c r="A44" s="58" t="s">
        <v>18</v>
      </c>
      <c r="B44" s="59">
        <f t="shared" ref="B44" si="1">SUM(B42:B43)</f>
        <v>0.19443333333333335</v>
      </c>
      <c r="C44" s="60">
        <f>SUM(C42:C43)</f>
        <v>786.38</v>
      </c>
      <c r="D44" s="60">
        <f>SUM(D42:D43)</f>
        <v>655.6</v>
      </c>
      <c r="E44" s="60">
        <f>SUM(E42:E43)</f>
        <v>727.12</v>
      </c>
      <c r="F44" s="60">
        <f>SUM(F42:F43)</f>
        <v>799.82999999999993</v>
      </c>
      <c r="G44" s="60">
        <f>SUM(G42:G43)</f>
        <v>655.6</v>
      </c>
    </row>
    <row r="45" spans="1:7" ht="15" x14ac:dyDescent="0.2">
      <c r="A45" s="61" t="s">
        <v>140</v>
      </c>
      <c r="B45" s="56" t="s">
        <v>45</v>
      </c>
      <c r="C45" s="56" t="s">
        <v>19</v>
      </c>
      <c r="D45" s="56" t="s">
        <v>19</v>
      </c>
      <c r="E45" s="56" t="s">
        <v>19</v>
      </c>
      <c r="F45" s="56" t="s">
        <v>19</v>
      </c>
      <c r="G45" s="56" t="s">
        <v>19</v>
      </c>
    </row>
    <row r="46" spans="1:7" ht="15" x14ac:dyDescent="0.2">
      <c r="A46" s="43" t="s">
        <v>47</v>
      </c>
      <c r="B46" s="62">
        <v>0.2</v>
      </c>
      <c r="C46" s="63">
        <f>ROUND($B46*(C$38+C$44),2)</f>
        <v>966.17</v>
      </c>
      <c r="D46" s="63">
        <f>ROUND($B46*(D$38+D$44),2)</f>
        <v>805.49</v>
      </c>
      <c r="E46" s="63">
        <f>ROUND($B46*(E$38+E$44),2)</f>
        <v>893.36</v>
      </c>
      <c r="F46" s="63">
        <f>ROUND($B46*(F$38+F$44),2)</f>
        <v>982.7</v>
      </c>
      <c r="G46" s="63">
        <f>ROUND($B46*(G$38+G$44),2)</f>
        <v>805.49</v>
      </c>
    </row>
    <row r="47" spans="1:7" ht="15" x14ac:dyDescent="0.2">
      <c r="A47" s="43" t="s">
        <v>48</v>
      </c>
      <c r="B47" s="46">
        <v>2.5000000000000001E-2</v>
      </c>
      <c r="C47" s="63">
        <f>ROUND(B47*(C$38+C$44),2)</f>
        <v>120.77</v>
      </c>
      <c r="D47" s="63">
        <f t="shared" ref="D47:G53" si="2">ROUND($B47*(D$38+D$44),2)</f>
        <v>100.69</v>
      </c>
      <c r="E47" s="63">
        <f t="shared" si="2"/>
        <v>111.67</v>
      </c>
      <c r="F47" s="63">
        <f t="shared" si="2"/>
        <v>122.84</v>
      </c>
      <c r="G47" s="63">
        <f t="shared" si="2"/>
        <v>100.69</v>
      </c>
    </row>
    <row r="48" spans="1:7" ht="15" x14ac:dyDescent="0.2">
      <c r="A48" s="43" t="s">
        <v>141</v>
      </c>
      <c r="B48" s="46">
        <v>1.4999999999999999E-2</v>
      </c>
      <c r="C48" s="63">
        <f t="shared" ref="C48:C53" si="3">ROUND(B48*(C$38+C$44),2)</f>
        <v>72.459999999999994</v>
      </c>
      <c r="D48" s="63">
        <f t="shared" si="2"/>
        <v>60.41</v>
      </c>
      <c r="E48" s="63">
        <f t="shared" si="2"/>
        <v>67</v>
      </c>
      <c r="F48" s="63">
        <f t="shared" si="2"/>
        <v>73.7</v>
      </c>
      <c r="G48" s="63">
        <f t="shared" si="2"/>
        <v>60.41</v>
      </c>
    </row>
    <row r="49" spans="1:7" ht="15" x14ac:dyDescent="0.2">
      <c r="A49" s="43" t="s">
        <v>49</v>
      </c>
      <c r="B49" s="46">
        <v>1.4999999999999999E-2</v>
      </c>
      <c r="C49" s="63">
        <f t="shared" si="3"/>
        <v>72.459999999999994</v>
      </c>
      <c r="D49" s="63">
        <f t="shared" si="2"/>
        <v>60.41</v>
      </c>
      <c r="E49" s="63">
        <f t="shared" si="2"/>
        <v>67</v>
      </c>
      <c r="F49" s="63">
        <f t="shared" si="2"/>
        <v>73.7</v>
      </c>
      <c r="G49" s="63">
        <f t="shared" si="2"/>
        <v>60.41</v>
      </c>
    </row>
    <row r="50" spans="1:7" ht="15" x14ac:dyDescent="0.2">
      <c r="A50" s="43" t="s">
        <v>50</v>
      </c>
      <c r="B50" s="46">
        <v>0.01</v>
      </c>
      <c r="C50" s="63">
        <f t="shared" si="3"/>
        <v>48.31</v>
      </c>
      <c r="D50" s="63">
        <f t="shared" si="2"/>
        <v>40.270000000000003</v>
      </c>
      <c r="E50" s="63">
        <f t="shared" si="2"/>
        <v>44.67</v>
      </c>
      <c r="F50" s="63">
        <f t="shared" si="2"/>
        <v>49.13</v>
      </c>
      <c r="G50" s="63">
        <f t="shared" si="2"/>
        <v>40.270000000000003</v>
      </c>
    </row>
    <row r="51" spans="1:7" ht="15" x14ac:dyDescent="0.2">
      <c r="A51" s="43" t="s">
        <v>51</v>
      </c>
      <c r="B51" s="46">
        <v>6.0000000000000001E-3</v>
      </c>
      <c r="C51" s="63">
        <f t="shared" si="3"/>
        <v>28.99</v>
      </c>
      <c r="D51" s="63">
        <f t="shared" si="2"/>
        <v>24.16</v>
      </c>
      <c r="E51" s="63">
        <f t="shared" si="2"/>
        <v>26.8</v>
      </c>
      <c r="F51" s="63">
        <f t="shared" si="2"/>
        <v>29.48</v>
      </c>
      <c r="G51" s="63">
        <f t="shared" si="2"/>
        <v>24.16</v>
      </c>
    </row>
    <row r="52" spans="1:7" ht="15" x14ac:dyDescent="0.2">
      <c r="A52" s="43" t="s">
        <v>52</v>
      </c>
      <c r="B52" s="46">
        <v>2E-3</v>
      </c>
      <c r="C52" s="63">
        <f t="shared" si="3"/>
        <v>9.66</v>
      </c>
      <c r="D52" s="63">
        <f t="shared" si="2"/>
        <v>8.0500000000000007</v>
      </c>
      <c r="E52" s="63">
        <f t="shared" si="2"/>
        <v>8.93</v>
      </c>
      <c r="F52" s="63">
        <f t="shared" si="2"/>
        <v>9.83</v>
      </c>
      <c r="G52" s="63">
        <f t="shared" si="2"/>
        <v>8.0500000000000007</v>
      </c>
    </row>
    <row r="53" spans="1:7" ht="15" x14ac:dyDescent="0.2">
      <c r="A53" s="43" t="s">
        <v>53</v>
      </c>
      <c r="B53" s="64">
        <v>0.08</v>
      </c>
      <c r="C53" s="63">
        <f t="shared" si="3"/>
        <v>386.47</v>
      </c>
      <c r="D53" s="63">
        <f t="shared" si="2"/>
        <v>322.2</v>
      </c>
      <c r="E53" s="63">
        <f t="shared" si="2"/>
        <v>357.34</v>
      </c>
      <c r="F53" s="63">
        <f t="shared" si="2"/>
        <v>393.08</v>
      </c>
      <c r="G53" s="63">
        <f t="shared" si="2"/>
        <v>322.2</v>
      </c>
    </row>
    <row r="54" spans="1:7" ht="15" x14ac:dyDescent="0.2">
      <c r="A54" s="58" t="s">
        <v>18</v>
      </c>
      <c r="B54" s="59">
        <f t="shared" ref="B54" si="4">SUM(B46:B53)</f>
        <v>0.35300000000000004</v>
      </c>
      <c r="C54" s="65">
        <f>SUM(C46:C53)</f>
        <v>1705.2900000000002</v>
      </c>
      <c r="D54" s="65">
        <f>SUM(D46:D53)</f>
        <v>1421.68</v>
      </c>
      <c r="E54" s="65">
        <f>SUM(E46:E53)</f>
        <v>1576.77</v>
      </c>
      <c r="F54" s="65">
        <f>SUM(F46:F53)</f>
        <v>1734.46</v>
      </c>
      <c r="G54" s="65">
        <f>SUM(G46:G53)</f>
        <v>1421.68</v>
      </c>
    </row>
    <row r="55" spans="1:7" ht="30" x14ac:dyDescent="0.25">
      <c r="A55" s="66" t="s">
        <v>54</v>
      </c>
      <c r="B55" s="67" t="s">
        <v>37</v>
      </c>
      <c r="C55" s="56" t="s">
        <v>19</v>
      </c>
      <c r="D55" s="56" t="s">
        <v>19</v>
      </c>
      <c r="E55" s="56" t="s">
        <v>19</v>
      </c>
      <c r="F55" s="56" t="s">
        <v>19</v>
      </c>
      <c r="G55" s="56" t="s">
        <v>19</v>
      </c>
    </row>
    <row r="56" spans="1:7" ht="15" x14ac:dyDescent="0.2">
      <c r="A56" s="43" t="s">
        <v>108</v>
      </c>
      <c r="B56" s="44">
        <v>5.5</v>
      </c>
      <c r="C56" s="68">
        <f>'Memória de Cálculo ES'!L55:L55</f>
        <v>99.33280000000002</v>
      </c>
      <c r="D56" s="68">
        <f>'Memória de Cálculo ES'!L63:L63</f>
        <v>9.3762000000000114</v>
      </c>
      <c r="E56" s="68">
        <f>'Memória de Cálculo ES'!L63:L63</f>
        <v>9.3762000000000114</v>
      </c>
      <c r="F56" s="68">
        <f>'Memória de Cálculo ES'!L63:L63</f>
        <v>9.3762000000000114</v>
      </c>
      <c r="G56" s="68">
        <f>'Memória de Cálculo ES'!L63:L63</f>
        <v>9.3762000000000114</v>
      </c>
    </row>
    <row r="57" spans="1:7" s="280" customFormat="1" ht="15" x14ac:dyDescent="0.2">
      <c r="A57" s="277" t="s">
        <v>109</v>
      </c>
      <c r="B57" s="278">
        <v>45.12</v>
      </c>
      <c r="C57" s="279">
        <f>'Memória de Cálculo ES'!L71:L71</f>
        <v>992.64</v>
      </c>
      <c r="D57" s="279">
        <f>'Memória de Cálculo ES'!L70:L70</f>
        <v>676.8</v>
      </c>
      <c r="E57" s="279">
        <f>'Memória de Cálculo ES'!L70:L70</f>
        <v>676.8</v>
      </c>
      <c r="F57" s="279">
        <f>'Memória de Cálculo ES'!L70:L70</f>
        <v>676.8</v>
      </c>
      <c r="G57" s="279">
        <f>'Memória de Cálculo ES'!L70:L70</f>
        <v>676.8</v>
      </c>
    </row>
    <row r="58" spans="1:7" ht="15" x14ac:dyDescent="0.25">
      <c r="A58" s="70" t="s">
        <v>110</v>
      </c>
      <c r="B58" s="69">
        <v>0</v>
      </c>
      <c r="C58" s="71">
        <f>B58</f>
        <v>0</v>
      </c>
      <c r="D58" s="71">
        <f>B58</f>
        <v>0</v>
      </c>
      <c r="E58" s="71">
        <f>B58</f>
        <v>0</v>
      </c>
      <c r="F58" s="71">
        <f>C58</f>
        <v>0</v>
      </c>
      <c r="G58" s="71">
        <f>D58</f>
        <v>0</v>
      </c>
    </row>
    <row r="59" spans="1:7" ht="15" x14ac:dyDescent="0.2">
      <c r="A59" s="43" t="s">
        <v>111</v>
      </c>
      <c r="B59" s="69"/>
      <c r="C59" s="72">
        <f>B59</f>
        <v>0</v>
      </c>
      <c r="D59" s="72">
        <f>C59</f>
        <v>0</v>
      </c>
      <c r="E59" s="72">
        <f>D59</f>
        <v>0</v>
      </c>
      <c r="F59" s="72">
        <f>E59</f>
        <v>0</v>
      </c>
      <c r="G59" s="72">
        <f>F59</f>
        <v>0</v>
      </c>
    </row>
    <row r="60" spans="1:7" ht="15" x14ac:dyDescent="0.2">
      <c r="A60" s="43" t="s">
        <v>112</v>
      </c>
      <c r="B60" s="73"/>
      <c r="C60" s="71"/>
      <c r="D60" s="71"/>
      <c r="E60" s="71"/>
      <c r="F60" s="71"/>
      <c r="G60" s="71"/>
    </row>
    <row r="61" spans="1:7" ht="15" x14ac:dyDescent="0.2">
      <c r="A61" s="43" t="s">
        <v>440</v>
      </c>
      <c r="B61" s="69">
        <v>16.07</v>
      </c>
      <c r="C61" s="74">
        <f>B61</f>
        <v>16.07</v>
      </c>
      <c r="D61" s="74">
        <f>B61</f>
        <v>16.07</v>
      </c>
      <c r="E61" s="74">
        <f>B61</f>
        <v>16.07</v>
      </c>
      <c r="F61" s="74">
        <f>C61</f>
        <v>16.07</v>
      </c>
      <c r="G61" s="74">
        <f>D61</f>
        <v>16.07</v>
      </c>
    </row>
    <row r="62" spans="1:7" ht="15" x14ac:dyDescent="0.2">
      <c r="A62" s="58" t="s">
        <v>18</v>
      </c>
      <c r="B62" s="75"/>
      <c r="C62" s="76">
        <f>SUM(C56:C61)</f>
        <v>1108.0427999999999</v>
      </c>
      <c r="D62" s="76">
        <f>SUM(D56:D61)</f>
        <v>702.24620000000004</v>
      </c>
      <c r="E62" s="76">
        <f>SUM(E56:E61)</f>
        <v>702.24620000000004</v>
      </c>
      <c r="F62" s="76">
        <f>SUM(F56:F61)</f>
        <v>702.24620000000004</v>
      </c>
      <c r="G62" s="76">
        <f>SUM(G56:G61)</f>
        <v>702.24620000000004</v>
      </c>
    </row>
    <row r="63" spans="1:7" ht="15" x14ac:dyDescent="0.2">
      <c r="A63" s="77" t="s">
        <v>55</v>
      </c>
      <c r="B63" s="78" t="s">
        <v>45</v>
      </c>
      <c r="C63" s="42" t="s">
        <v>19</v>
      </c>
      <c r="D63" s="42" t="s">
        <v>19</v>
      </c>
      <c r="E63" s="42" t="s">
        <v>19</v>
      </c>
      <c r="F63" s="42" t="s">
        <v>19</v>
      </c>
      <c r="G63" s="42" t="s">
        <v>19</v>
      </c>
    </row>
    <row r="64" spans="1:7" ht="15" x14ac:dyDescent="0.2">
      <c r="A64" s="79" t="s">
        <v>56</v>
      </c>
      <c r="B64" s="80">
        <f t="shared" ref="B64:G64" si="5">B44</f>
        <v>0.19443333333333335</v>
      </c>
      <c r="C64" s="81">
        <f t="shared" si="5"/>
        <v>786.38</v>
      </c>
      <c r="D64" s="81">
        <f t="shared" si="5"/>
        <v>655.6</v>
      </c>
      <c r="E64" s="81">
        <f t="shared" si="5"/>
        <v>727.12</v>
      </c>
      <c r="F64" s="81">
        <f t="shared" si="5"/>
        <v>799.82999999999993</v>
      </c>
      <c r="G64" s="81">
        <f t="shared" si="5"/>
        <v>655.6</v>
      </c>
    </row>
    <row r="65" spans="1:8" ht="15" x14ac:dyDescent="0.2">
      <c r="A65" s="82" t="s">
        <v>57</v>
      </c>
      <c r="B65" s="83">
        <f t="shared" ref="B65:G65" si="6">B54</f>
        <v>0.35300000000000004</v>
      </c>
      <c r="C65" s="57">
        <f t="shared" si="6"/>
        <v>1705.2900000000002</v>
      </c>
      <c r="D65" s="57">
        <f t="shared" si="6"/>
        <v>1421.68</v>
      </c>
      <c r="E65" s="57">
        <f t="shared" si="6"/>
        <v>1576.77</v>
      </c>
      <c r="F65" s="57">
        <f t="shared" si="6"/>
        <v>1734.46</v>
      </c>
      <c r="G65" s="57">
        <f t="shared" si="6"/>
        <v>1421.68</v>
      </c>
    </row>
    <row r="66" spans="1:8" ht="15" x14ac:dyDescent="0.2">
      <c r="A66" s="82" t="s">
        <v>58</v>
      </c>
      <c r="B66" s="84">
        <v>0</v>
      </c>
      <c r="C66" s="57">
        <f>C62</f>
        <v>1108.0427999999999</v>
      </c>
      <c r="D66" s="57">
        <f>D62</f>
        <v>702.24620000000004</v>
      </c>
      <c r="E66" s="57">
        <f>E62</f>
        <v>702.24620000000004</v>
      </c>
      <c r="F66" s="57">
        <f>F62</f>
        <v>702.24620000000004</v>
      </c>
      <c r="G66" s="57">
        <f>G62</f>
        <v>702.24620000000004</v>
      </c>
    </row>
    <row r="67" spans="1:8" ht="15" x14ac:dyDescent="0.2">
      <c r="A67" s="52" t="s">
        <v>18</v>
      </c>
      <c r="B67" s="85">
        <f t="shared" ref="B67" si="7">SUM(B64:B66)</f>
        <v>0.54743333333333344</v>
      </c>
      <c r="C67" s="86">
        <f>SUM(C64:C66)</f>
        <v>3599.7128000000002</v>
      </c>
      <c r="D67" s="86">
        <f>SUM(D64:D66)</f>
        <v>2779.5262000000002</v>
      </c>
      <c r="E67" s="86">
        <f>SUM(E64:E66)</f>
        <v>3006.1361999999999</v>
      </c>
      <c r="F67" s="86">
        <f>SUM(F64:F66)</f>
        <v>3236.5362</v>
      </c>
      <c r="G67" s="86">
        <f>SUM(G64:G66)</f>
        <v>2779.5262000000002</v>
      </c>
    </row>
    <row r="68" spans="1:8" ht="15" x14ac:dyDescent="0.2">
      <c r="A68" s="87"/>
      <c r="B68" s="38"/>
      <c r="C68" s="38"/>
      <c r="D68" s="14"/>
    </row>
    <row r="69" spans="1:8" ht="16.7" customHeight="1" x14ac:dyDescent="0.2">
      <c r="A69" s="583" t="s">
        <v>59</v>
      </c>
      <c r="B69" s="583"/>
      <c r="C69" s="583"/>
      <c r="D69" s="583"/>
      <c r="E69" s="583"/>
      <c r="F69" s="225"/>
      <c r="G69" s="225"/>
    </row>
    <row r="70" spans="1:8" ht="15" x14ac:dyDescent="0.2">
      <c r="A70" s="88" t="s">
        <v>60</v>
      </c>
      <c r="B70" s="89" t="s">
        <v>45</v>
      </c>
      <c r="C70" s="90" t="s">
        <v>19</v>
      </c>
      <c r="D70" s="90" t="s">
        <v>19</v>
      </c>
      <c r="E70" s="90" t="s">
        <v>19</v>
      </c>
      <c r="F70" s="90" t="s">
        <v>19</v>
      </c>
      <c r="G70" s="90" t="s">
        <v>19</v>
      </c>
    </row>
    <row r="71" spans="1:8" ht="15" x14ac:dyDescent="0.2">
      <c r="A71" s="43" t="s">
        <v>145</v>
      </c>
      <c r="B71" s="170">
        <f>'Memória de Cálculo ES'!E90</f>
        <v>8.0000000000000004E-4</v>
      </c>
      <c r="C71" s="57">
        <f>ROUND($B71*C$38,2)</f>
        <v>3.24</v>
      </c>
      <c r="D71" s="57">
        <f t="shared" ref="D71:G71" si="8">ROUND($B71*D$38,2)</f>
        <v>2.7</v>
      </c>
      <c r="E71" s="57">
        <f t="shared" si="8"/>
        <v>2.99</v>
      </c>
      <c r="F71" s="57">
        <f t="shared" si="8"/>
        <v>3.29</v>
      </c>
      <c r="G71" s="57">
        <f t="shared" si="8"/>
        <v>2.7</v>
      </c>
    </row>
    <row r="72" spans="1:8" ht="15" x14ac:dyDescent="0.2">
      <c r="A72" s="92" t="s">
        <v>61</v>
      </c>
      <c r="B72" s="91">
        <f>B53*B71</f>
        <v>6.4000000000000011E-5</v>
      </c>
      <c r="C72" s="57">
        <f t="shared" ref="C72:G76" si="9">ROUND($B72*C$38,2)</f>
        <v>0.26</v>
      </c>
      <c r="D72" s="57">
        <f t="shared" si="9"/>
        <v>0.22</v>
      </c>
      <c r="E72" s="57">
        <f t="shared" si="9"/>
        <v>0.24</v>
      </c>
      <c r="F72" s="57">
        <f t="shared" si="9"/>
        <v>0.26</v>
      </c>
      <c r="G72" s="57">
        <f t="shared" si="9"/>
        <v>0.22</v>
      </c>
    </row>
    <row r="73" spans="1:8" ht="15" x14ac:dyDescent="0.2">
      <c r="A73" s="43" t="s">
        <v>62</v>
      </c>
      <c r="B73" s="91">
        <f>B71*40%</f>
        <v>3.2000000000000003E-4</v>
      </c>
      <c r="C73" s="57">
        <f t="shared" si="9"/>
        <v>1.29</v>
      </c>
      <c r="D73" s="57">
        <f t="shared" si="9"/>
        <v>1.08</v>
      </c>
      <c r="E73" s="57">
        <f t="shared" si="9"/>
        <v>1.2</v>
      </c>
      <c r="F73" s="57">
        <f t="shared" si="9"/>
        <v>1.32</v>
      </c>
      <c r="G73" s="57">
        <f t="shared" si="9"/>
        <v>1.08</v>
      </c>
    </row>
    <row r="74" spans="1:8" ht="15" x14ac:dyDescent="0.2">
      <c r="A74" s="43" t="s">
        <v>240</v>
      </c>
      <c r="B74" s="170">
        <f>'Memória de Cálculo ES'!E93</f>
        <v>4.0000000000000002E-4</v>
      </c>
      <c r="C74" s="57">
        <f t="shared" si="9"/>
        <v>1.62</v>
      </c>
      <c r="D74" s="57">
        <f t="shared" si="9"/>
        <v>1.35</v>
      </c>
      <c r="E74" s="57">
        <f t="shared" si="9"/>
        <v>1.5</v>
      </c>
      <c r="F74" s="57">
        <f t="shared" si="9"/>
        <v>1.65</v>
      </c>
      <c r="G74" s="57">
        <f t="shared" si="9"/>
        <v>1.35</v>
      </c>
    </row>
    <row r="75" spans="1:8" ht="30" x14ac:dyDescent="0.25">
      <c r="A75" s="43" t="s">
        <v>63</v>
      </c>
      <c r="B75" s="91">
        <f>B54*B74</f>
        <v>1.4120000000000002E-4</v>
      </c>
      <c r="C75" s="57">
        <f t="shared" si="9"/>
        <v>0.56999999999999995</v>
      </c>
      <c r="D75" s="57">
        <f t="shared" si="9"/>
        <v>0.48</v>
      </c>
      <c r="E75" s="57">
        <f t="shared" si="9"/>
        <v>0.53</v>
      </c>
      <c r="F75" s="57">
        <f t="shared" si="9"/>
        <v>0.57999999999999996</v>
      </c>
      <c r="G75" s="57">
        <f t="shared" si="9"/>
        <v>0.48</v>
      </c>
      <c r="H75" s="93"/>
    </row>
    <row r="76" spans="1:8" ht="30" x14ac:dyDescent="0.2">
      <c r="A76" s="43" t="s">
        <v>64</v>
      </c>
      <c r="B76" s="94">
        <v>0.04</v>
      </c>
      <c r="C76" s="57">
        <f t="shared" si="9"/>
        <v>161.78</v>
      </c>
      <c r="D76" s="57">
        <f t="shared" si="9"/>
        <v>134.87</v>
      </c>
      <c r="E76" s="57">
        <f t="shared" si="9"/>
        <v>149.59</v>
      </c>
      <c r="F76" s="57">
        <f t="shared" si="9"/>
        <v>164.55</v>
      </c>
      <c r="G76" s="57">
        <f t="shared" si="9"/>
        <v>134.87</v>
      </c>
    </row>
    <row r="77" spans="1:8" ht="15" x14ac:dyDescent="0.2">
      <c r="A77" s="52" t="s">
        <v>18</v>
      </c>
      <c r="B77" s="95">
        <f t="shared" ref="B77" si="10">SUM(B71:B76)</f>
        <v>4.1725200000000004E-2</v>
      </c>
      <c r="C77" s="86">
        <f>SUM(C71:C76)</f>
        <v>168.76</v>
      </c>
      <c r="D77" s="86">
        <f>SUM(D71:D76)</f>
        <v>140.70000000000002</v>
      </c>
      <c r="E77" s="86">
        <f>SUM(E71:E76)</f>
        <v>156.05000000000001</v>
      </c>
      <c r="F77" s="86">
        <f>SUM(F71:F76)</f>
        <v>171.65</v>
      </c>
      <c r="G77" s="86">
        <f>SUM(G71:G76)</f>
        <v>140.70000000000002</v>
      </c>
      <c r="H77" s="172">
        <f>B77</f>
        <v>4.1725200000000004E-2</v>
      </c>
    </row>
    <row r="78" spans="1:8" x14ac:dyDescent="0.2">
      <c r="A78" s="96"/>
      <c r="B78" s="97"/>
      <c r="C78" s="97"/>
      <c r="D78" s="14"/>
    </row>
    <row r="79" spans="1:8" ht="16.7" customHeight="1" x14ac:dyDescent="0.2">
      <c r="A79" s="583" t="s">
        <v>65</v>
      </c>
      <c r="B79" s="583"/>
      <c r="C79" s="583"/>
      <c r="D79" s="583"/>
      <c r="E79" s="583"/>
      <c r="F79" s="225"/>
      <c r="G79" s="225"/>
    </row>
    <row r="80" spans="1:8" ht="15" x14ac:dyDescent="0.2">
      <c r="A80" s="98" t="s">
        <v>66</v>
      </c>
      <c r="B80" s="99" t="s">
        <v>45</v>
      </c>
      <c r="C80" s="100" t="s">
        <v>19</v>
      </c>
      <c r="D80" s="100" t="s">
        <v>19</v>
      </c>
      <c r="E80" s="100" t="s">
        <v>19</v>
      </c>
      <c r="F80" s="100" t="s">
        <v>19</v>
      </c>
      <c r="G80" s="100" t="s">
        <v>19</v>
      </c>
    </row>
    <row r="81" spans="1:9" ht="15" x14ac:dyDescent="0.2">
      <c r="A81" s="43" t="s">
        <v>67</v>
      </c>
      <c r="B81" s="101">
        <f>'Memória de Cálculo ES'!E101</f>
        <v>9.2999999999999992E-3</v>
      </c>
      <c r="C81" s="63">
        <f>ROUND(($B81*C$38),2)</f>
        <v>37.61</v>
      </c>
      <c r="D81" s="63">
        <f>ROUND(($B81*D$38),2)</f>
        <v>31.36</v>
      </c>
      <c r="E81" s="63">
        <f>ROUND(($B81*E$38),2)</f>
        <v>34.78</v>
      </c>
      <c r="F81" s="63">
        <f>ROUND(($B81*F$38),2)</f>
        <v>38.26</v>
      </c>
      <c r="G81" s="63">
        <f>ROUND(($B81*G$38),2)</f>
        <v>31.36</v>
      </c>
    </row>
    <row r="82" spans="1:9" ht="15" x14ac:dyDescent="0.2">
      <c r="A82" s="43" t="s">
        <v>68</v>
      </c>
      <c r="B82" s="102">
        <f>'Memória de Cálculo ES'!E102</f>
        <v>2.0000000000000001E-4</v>
      </c>
      <c r="C82" s="63">
        <f>ROUND(B82*(C$38),2)</f>
        <v>0.81</v>
      </c>
      <c r="D82" s="63">
        <f t="shared" ref="D82:G85" si="11">ROUND($B82*(D$38),2)</f>
        <v>0.67</v>
      </c>
      <c r="E82" s="63">
        <f t="shared" si="11"/>
        <v>0.75</v>
      </c>
      <c r="F82" s="63">
        <f t="shared" si="11"/>
        <v>0.82</v>
      </c>
      <c r="G82" s="63">
        <f t="shared" si="11"/>
        <v>0.67</v>
      </c>
    </row>
    <row r="83" spans="1:9" ht="15" x14ac:dyDescent="0.2">
      <c r="A83" s="43" t="s">
        <v>69</v>
      </c>
      <c r="B83" s="102">
        <f>'Memória de Cálculo ES'!E103</f>
        <v>2.0000000000000001E-4</v>
      </c>
      <c r="C83" s="63">
        <f>ROUND(B83*(C$38),2)</f>
        <v>0.81</v>
      </c>
      <c r="D83" s="63">
        <f t="shared" si="11"/>
        <v>0.67</v>
      </c>
      <c r="E83" s="63">
        <f t="shared" si="11"/>
        <v>0.75</v>
      </c>
      <c r="F83" s="63">
        <f t="shared" si="11"/>
        <v>0.82</v>
      </c>
      <c r="G83" s="63">
        <f t="shared" si="11"/>
        <v>0.67</v>
      </c>
    </row>
    <row r="84" spans="1:9" ht="15" x14ac:dyDescent="0.2">
      <c r="A84" s="43" t="s">
        <v>70</v>
      </c>
      <c r="B84" s="102">
        <f>'Memória de Cálculo ES'!E104</f>
        <v>2.0000000000000001E-4</v>
      </c>
      <c r="C84" s="63">
        <f>ROUND(B84*(C$38),2)</f>
        <v>0.81</v>
      </c>
      <c r="D84" s="63">
        <f t="shared" si="11"/>
        <v>0.67</v>
      </c>
      <c r="E84" s="63">
        <f t="shared" si="11"/>
        <v>0.75</v>
      </c>
      <c r="F84" s="63">
        <f t="shared" si="11"/>
        <v>0.82</v>
      </c>
      <c r="G84" s="63">
        <f t="shared" si="11"/>
        <v>0.67</v>
      </c>
    </row>
    <row r="85" spans="1:9" ht="15" x14ac:dyDescent="0.2">
      <c r="A85" s="43" t="s">
        <v>71</v>
      </c>
      <c r="B85" s="103">
        <f>'Memória de Cálculo ES'!E105</f>
        <v>2.0000000000000001E-4</v>
      </c>
      <c r="C85" s="63">
        <f>ROUND(B85*(C$38),2)</f>
        <v>0.81</v>
      </c>
      <c r="D85" s="63">
        <f t="shared" si="11"/>
        <v>0.67</v>
      </c>
      <c r="E85" s="63">
        <f t="shared" si="11"/>
        <v>0.75</v>
      </c>
      <c r="F85" s="63">
        <f t="shared" si="11"/>
        <v>0.82</v>
      </c>
      <c r="G85" s="63">
        <f t="shared" si="11"/>
        <v>0.67</v>
      </c>
    </row>
    <row r="86" spans="1:9" ht="15" x14ac:dyDescent="0.2">
      <c r="A86" s="43" t="s">
        <v>435</v>
      </c>
      <c r="B86" s="102">
        <f>'Memória de Cálculo ES'!E106</f>
        <v>0</v>
      </c>
      <c r="C86" s="63">
        <f>ROUND(B86*(C$38+C$67+C$77),2)</f>
        <v>0</v>
      </c>
      <c r="D86" s="63">
        <f>ROUND(C86*(D$38+D$67+D$77),2)</f>
        <v>0</v>
      </c>
      <c r="E86" s="63">
        <f>ROUND(D86*(E$38+E$67+E$77),2)</f>
        <v>0</v>
      </c>
      <c r="F86" s="63">
        <f>ROUND(E86*(F$38+F$67+F$77),2)</f>
        <v>0</v>
      </c>
      <c r="G86" s="63">
        <f>ROUND(F86*(G$38+G$67+G$77),2)</f>
        <v>0</v>
      </c>
    </row>
    <row r="87" spans="1:9" ht="15" x14ac:dyDescent="0.2">
      <c r="A87" s="52" t="s">
        <v>18</v>
      </c>
      <c r="B87" s="104">
        <f t="shared" ref="B87" si="12">SUM(B81:B86)</f>
        <v>1.0100000000000001E-2</v>
      </c>
      <c r="C87" s="86">
        <f>SUM(C81:C86)</f>
        <v>40.850000000000009</v>
      </c>
      <c r="D87" s="86">
        <f>SUM(D81:D86)</f>
        <v>34.040000000000006</v>
      </c>
      <c r="E87" s="86">
        <f>SUM(E81:E86)</f>
        <v>37.78</v>
      </c>
      <c r="F87" s="86">
        <f>SUM(F81:F86)</f>
        <v>41.54</v>
      </c>
      <c r="G87" s="86">
        <f>SUM(G81:G86)</f>
        <v>34.040000000000006</v>
      </c>
      <c r="H87" s="172">
        <f>B87</f>
        <v>1.0100000000000001E-2</v>
      </c>
    </row>
    <row r="88" spans="1:9" ht="15" x14ac:dyDescent="0.2">
      <c r="A88" s="105" t="s">
        <v>72</v>
      </c>
      <c r="B88" s="106" t="s">
        <v>45</v>
      </c>
      <c r="C88" s="56" t="s">
        <v>19</v>
      </c>
      <c r="D88" s="56" t="s">
        <v>19</v>
      </c>
      <c r="E88" s="56" t="s">
        <v>19</v>
      </c>
      <c r="F88" s="56" t="s">
        <v>19</v>
      </c>
      <c r="G88" s="56" t="s">
        <v>19</v>
      </c>
    </row>
    <row r="89" spans="1:9" ht="15" x14ac:dyDescent="0.2">
      <c r="A89" s="107" t="s">
        <v>175</v>
      </c>
      <c r="B89" s="108"/>
      <c r="C89" s="109">
        <v>0</v>
      </c>
      <c r="D89" s="171">
        <f>D38/220*B89*1*15</f>
        <v>0</v>
      </c>
      <c r="E89" s="171">
        <f>E38/220*B89*1*15</f>
        <v>0</v>
      </c>
      <c r="F89" s="171">
        <f>F38/220*C89*1*15</f>
        <v>0</v>
      </c>
      <c r="G89" s="171">
        <f>G38/220*D89*1*15</f>
        <v>0</v>
      </c>
    </row>
    <row r="90" spans="1:9" ht="15" x14ac:dyDescent="0.2">
      <c r="A90" s="52" t="s">
        <v>18</v>
      </c>
      <c r="B90" s="104"/>
      <c r="C90" s="86">
        <f>SUM(C89:C89)</f>
        <v>0</v>
      </c>
      <c r="D90" s="86">
        <f>SUM(D89:D89)</f>
        <v>0</v>
      </c>
      <c r="E90" s="86">
        <f>SUM(E89:E89)</f>
        <v>0</v>
      </c>
      <c r="F90" s="86">
        <f>SUM(F89:F89)</f>
        <v>0</v>
      </c>
      <c r="G90" s="86">
        <f>SUM(G89:G89)</f>
        <v>0</v>
      </c>
      <c r="H90" s="172">
        <f>SUM(H87+H77+B44+B54)</f>
        <v>0.59925853333333334</v>
      </c>
    </row>
    <row r="91" spans="1:9" ht="15" x14ac:dyDescent="0.2">
      <c r="A91" s="110"/>
      <c r="B91" s="111"/>
      <c r="C91" s="38"/>
      <c r="D91" s="38"/>
      <c r="H91" s="172">
        <f>B44*B54</f>
        <v>6.8634966666666672E-2</v>
      </c>
      <c r="I91" s="172">
        <f>B44*B54</f>
        <v>6.8634966666666672E-2</v>
      </c>
    </row>
    <row r="92" spans="1:9" ht="15" x14ac:dyDescent="0.2">
      <c r="A92" s="112" t="s">
        <v>73</v>
      </c>
      <c r="B92" s="113" t="s">
        <v>45</v>
      </c>
      <c r="C92" s="114" t="s">
        <v>19</v>
      </c>
      <c r="D92" s="114" t="s">
        <v>19</v>
      </c>
      <c r="E92" s="114" t="s">
        <v>19</v>
      </c>
      <c r="F92" s="114" t="s">
        <v>19</v>
      </c>
      <c r="G92" s="114" t="s">
        <v>19</v>
      </c>
      <c r="H92" s="172">
        <f>SUM(H91+H90)</f>
        <v>0.66789350000000003</v>
      </c>
    </row>
    <row r="93" spans="1:9" ht="15" x14ac:dyDescent="0.2">
      <c r="A93" s="107" t="s">
        <v>74</v>
      </c>
      <c r="B93" s="108">
        <f t="shared" ref="B93:G93" si="13">B87</f>
        <v>1.0100000000000001E-2</v>
      </c>
      <c r="C93" s="109">
        <f t="shared" si="13"/>
        <v>40.850000000000009</v>
      </c>
      <c r="D93" s="109">
        <f t="shared" si="13"/>
        <v>34.040000000000006</v>
      </c>
      <c r="E93" s="109">
        <f t="shared" si="13"/>
        <v>37.78</v>
      </c>
      <c r="F93" s="109">
        <f t="shared" si="13"/>
        <v>41.54</v>
      </c>
      <c r="G93" s="109">
        <f t="shared" si="13"/>
        <v>34.040000000000006</v>
      </c>
    </row>
    <row r="94" spans="1:9" ht="15" x14ac:dyDescent="0.2">
      <c r="A94" s="115" t="s">
        <v>75</v>
      </c>
      <c r="B94" s="108"/>
      <c r="C94" s="109">
        <f>C90</f>
        <v>0</v>
      </c>
      <c r="D94" s="109" t="s">
        <v>193</v>
      </c>
      <c r="E94" s="109" t="s">
        <v>193</v>
      </c>
      <c r="F94" s="109">
        <f>F90</f>
        <v>0</v>
      </c>
      <c r="G94" s="109" t="s">
        <v>193</v>
      </c>
    </row>
    <row r="95" spans="1:9" ht="15" x14ac:dyDescent="0.2">
      <c r="A95" s="52" t="s">
        <v>18</v>
      </c>
      <c r="B95" s="116"/>
      <c r="C95" s="86">
        <f>SUM(C93:C94)</f>
        <v>40.850000000000009</v>
      </c>
      <c r="D95" s="86">
        <f>SUM(D93:D94)</f>
        <v>34.040000000000006</v>
      </c>
      <c r="E95" s="86">
        <f>SUM(E93:E94)</f>
        <v>37.78</v>
      </c>
      <c r="F95" s="86">
        <f>SUM(F93:F94)</f>
        <v>41.54</v>
      </c>
      <c r="G95" s="86">
        <f>SUM(G93:G94)</f>
        <v>34.040000000000006</v>
      </c>
    </row>
    <row r="96" spans="1:9" x14ac:dyDescent="0.2">
      <c r="A96" s="96"/>
      <c r="B96" s="117"/>
      <c r="C96" s="97"/>
      <c r="D96" s="14"/>
    </row>
    <row r="97" spans="1:9" ht="16.7" customHeight="1" x14ac:dyDescent="0.2">
      <c r="A97" s="583" t="s">
        <v>76</v>
      </c>
      <c r="B97" s="583"/>
      <c r="C97" s="583"/>
      <c r="D97" s="583"/>
      <c r="E97" s="583"/>
      <c r="F97" s="225"/>
      <c r="G97" s="225"/>
    </row>
    <row r="98" spans="1:9" ht="15" x14ac:dyDescent="0.2">
      <c r="A98" s="112" t="s">
        <v>77</v>
      </c>
      <c r="B98" s="113" t="s">
        <v>113</v>
      </c>
      <c r="C98" s="114" t="s">
        <v>19</v>
      </c>
      <c r="D98" s="114" t="s">
        <v>19</v>
      </c>
      <c r="E98" s="114" t="s">
        <v>19</v>
      </c>
      <c r="F98" s="114" t="s">
        <v>19</v>
      </c>
      <c r="G98" s="114" t="s">
        <v>19</v>
      </c>
    </row>
    <row r="99" spans="1:9" ht="15" x14ac:dyDescent="0.25">
      <c r="A99" s="43" t="s">
        <v>78</v>
      </c>
      <c r="B99" s="118"/>
      <c r="C99" s="119">
        <f>Insumos!F24</f>
        <v>95.67</v>
      </c>
      <c r="D99" s="119">
        <f>Insumos!F14</f>
        <v>82.17</v>
      </c>
      <c r="E99" s="119">
        <f>Insumos!F14</f>
        <v>82.17</v>
      </c>
      <c r="F99" s="119">
        <f>Insumos!F14</f>
        <v>82.17</v>
      </c>
      <c r="G99" s="119">
        <f>Insumos!F14</f>
        <v>82.17</v>
      </c>
    </row>
    <row r="100" spans="1:9" ht="15" x14ac:dyDescent="0.25">
      <c r="A100" s="43" t="s">
        <v>119</v>
      </c>
      <c r="B100" s="118">
        <f>Insumos!G40</f>
        <v>14.187021276595743</v>
      </c>
      <c r="C100" s="119">
        <f>Insumos!G40</f>
        <v>14.187021276595743</v>
      </c>
      <c r="D100" s="119">
        <f>Insumos!G40</f>
        <v>14.187021276595743</v>
      </c>
      <c r="E100" s="119">
        <f>Insumos!G40</f>
        <v>14.187021276595743</v>
      </c>
      <c r="F100" s="119">
        <f>Insumos!G40</f>
        <v>14.187021276595743</v>
      </c>
      <c r="G100" s="119">
        <f>Insumos!G40</f>
        <v>14.187021276595743</v>
      </c>
    </row>
    <row r="101" spans="1:9" ht="15" x14ac:dyDescent="0.25">
      <c r="A101" s="43" t="s">
        <v>238</v>
      </c>
      <c r="B101" s="118">
        <f>Insumos!G54</f>
        <v>15.010992907801418</v>
      </c>
      <c r="C101" s="119">
        <f>Insumos!G54</f>
        <v>15.010992907801418</v>
      </c>
      <c r="D101" s="119">
        <f>Insumos!G54</f>
        <v>15.010992907801418</v>
      </c>
      <c r="E101" s="119">
        <f>Insumos!G54</f>
        <v>15.010992907801418</v>
      </c>
      <c r="F101" s="119">
        <f>Insumos!G54</f>
        <v>15.010992907801418</v>
      </c>
      <c r="G101" s="119">
        <f>Insumos!G54</f>
        <v>15.010992907801418</v>
      </c>
    </row>
    <row r="102" spans="1:9" ht="15" x14ac:dyDescent="0.2">
      <c r="A102" s="43" t="s">
        <v>441</v>
      </c>
      <c r="B102" s="118">
        <v>0</v>
      </c>
      <c r="C102" s="57">
        <f>B102</f>
        <v>0</v>
      </c>
      <c r="D102" s="57">
        <f>B102</f>
        <v>0</v>
      </c>
      <c r="E102" s="57">
        <f>B102</f>
        <v>0</v>
      </c>
      <c r="F102" s="57">
        <f>Insumos!F62/2</f>
        <v>304.16666666666669</v>
      </c>
      <c r="G102" s="57">
        <f>D102</f>
        <v>0</v>
      </c>
    </row>
    <row r="103" spans="1:9" ht="15" x14ac:dyDescent="0.2">
      <c r="A103" s="120" t="s">
        <v>18</v>
      </c>
      <c r="B103" s="86"/>
      <c r="C103" s="86">
        <f>SUM(C99:C102)</f>
        <v>124.86801418439717</v>
      </c>
      <c r="D103" s="86">
        <f>SUM(D99:D102)</f>
        <v>111.36801418439717</v>
      </c>
      <c r="E103" s="86">
        <f>SUM(E99:E102)</f>
        <v>111.36801418439717</v>
      </c>
      <c r="F103" s="86">
        <f>SUM(F99:F102)</f>
        <v>415.53468085106385</v>
      </c>
      <c r="G103" s="86">
        <f>SUM(G99:G102)</f>
        <v>111.36801418439717</v>
      </c>
    </row>
    <row r="104" spans="1:9" ht="15" x14ac:dyDescent="0.2">
      <c r="A104" s="87"/>
      <c r="B104" s="121"/>
      <c r="C104" s="38"/>
      <c r="D104" s="14"/>
    </row>
    <row r="105" spans="1:9" ht="16.7" customHeight="1" x14ac:dyDescent="0.2">
      <c r="A105" s="583" t="s">
        <v>79</v>
      </c>
      <c r="B105" s="583"/>
      <c r="C105" s="583"/>
      <c r="D105" s="583"/>
      <c r="E105" s="583"/>
      <c r="F105" s="225"/>
      <c r="G105" s="225"/>
    </row>
    <row r="106" spans="1:9" ht="15" x14ac:dyDescent="0.2">
      <c r="A106" s="40" t="s">
        <v>80</v>
      </c>
      <c r="B106" s="89" t="s">
        <v>45</v>
      </c>
      <c r="C106" s="42" t="s">
        <v>19</v>
      </c>
      <c r="D106" s="42" t="s">
        <v>19</v>
      </c>
      <c r="E106" s="42" t="s">
        <v>19</v>
      </c>
      <c r="F106" s="42" t="s">
        <v>19</v>
      </c>
      <c r="G106" s="42" t="s">
        <v>19</v>
      </c>
    </row>
    <row r="107" spans="1:9" ht="15" x14ac:dyDescent="0.2">
      <c r="A107" s="43" t="s">
        <v>81</v>
      </c>
      <c r="B107" s="158">
        <v>8.9999999999999993E-3</v>
      </c>
      <c r="C107" s="81">
        <f>B107*(C38+C67+C77+C95+C103)</f>
        <v>71.807857327659576</v>
      </c>
      <c r="D107" s="81">
        <f>B107*(D38+D67+D77+D95+D103)</f>
        <v>57.937357927659569</v>
      </c>
      <c r="E107" s="81">
        <f>B107*(E38+E67+E77+E95+E103)</f>
        <v>63.459217927659566</v>
      </c>
      <c r="F107" s="81">
        <f>B107*(F38+F67+F77+F95+F103)</f>
        <v>71.810197927659573</v>
      </c>
      <c r="G107" s="81">
        <f>B107*(G38+G67+G77+G95+G103)</f>
        <v>57.937357927659569</v>
      </c>
      <c r="I107" s="122"/>
    </row>
    <row r="108" spans="1:9" ht="15" x14ac:dyDescent="0.2">
      <c r="A108" s="43" t="s">
        <v>82</v>
      </c>
      <c r="B108" s="158">
        <v>8.9999999999999993E-3</v>
      </c>
      <c r="C108" s="57">
        <f>B108*(C38+C67+C77+C95+C103+C107)</f>
        <v>72.45412804360852</v>
      </c>
      <c r="D108" s="57">
        <f>B108*(D38+D67+D77+D95+D103+D107)</f>
        <v>58.458794149008511</v>
      </c>
      <c r="E108" s="57">
        <f>B108*(E38+E67+E77+E95+E103+E107)</f>
        <v>64.030350889008503</v>
      </c>
      <c r="F108" s="57">
        <f>B108*(F38+F67+F77+F95+F103+F107)</f>
        <v>72.456489709008508</v>
      </c>
      <c r="G108" s="57">
        <f>B108*(G38+G67+G77+G95+G103+G107)</f>
        <v>58.458794149008511</v>
      </c>
      <c r="I108" s="122"/>
    </row>
    <row r="109" spans="1:9" ht="15" x14ac:dyDescent="0.2">
      <c r="A109" s="43" t="s">
        <v>114</v>
      </c>
      <c r="B109" s="158">
        <f>SUM(B110:B114)</f>
        <v>8.6499999999999994E-2</v>
      </c>
      <c r="C109" s="57">
        <f>((C38+C67+C77+C95+C103+C107+C108)/(1-B109))*B109</f>
        <v>769.16470406301596</v>
      </c>
      <c r="D109" s="57">
        <f>((D38+D67+D77+D95+D103+D107+D108)/(1-B109))*B109</f>
        <v>620.59184639472596</v>
      </c>
      <c r="E109" s="57">
        <f>((E38+E67+E77+E95+E103+E107+E108)/(1-B109))*B109</f>
        <v>679.73885301542646</v>
      </c>
      <c r="F109" s="57">
        <f>((F38+F67+F77+F95+F103+F107+F108)/(1-B109))*B109</f>
        <v>769.18977523173385</v>
      </c>
      <c r="G109" s="57">
        <f>((G38+G67+G77+G95+G103+G107+G108)/(1-B109))*B109</f>
        <v>620.59184639472596</v>
      </c>
      <c r="I109" s="122"/>
    </row>
    <row r="110" spans="1:9" ht="15" x14ac:dyDescent="0.2">
      <c r="A110" s="123" t="s">
        <v>115</v>
      </c>
      <c r="B110" s="157">
        <v>0.03</v>
      </c>
      <c r="C110" s="124">
        <f>((C38+C67+C77+C95+C103+C107+C108)/(1-B109))*B110</f>
        <v>266.76232510856045</v>
      </c>
      <c r="D110" s="124">
        <f>((D38+D67+D77+D95+D103+D107+D108)/(1-B109))*B110</f>
        <v>215.23416637967375</v>
      </c>
      <c r="E110" s="124">
        <f>((E38+E67+E77+E95+E103+E107+E108)/(1-B109))*B110</f>
        <v>235.74757908049472</v>
      </c>
      <c r="F110" s="124">
        <f>((F38+F67+F77+F95+F103+F107+F108)/(1-B109))*B110</f>
        <v>266.77102031158398</v>
      </c>
      <c r="G110" s="124">
        <f>((G38+G67+G77+G95+G103+G107+G108)/(1-B109))*B110</f>
        <v>215.23416637967375</v>
      </c>
    </row>
    <row r="111" spans="1:9" ht="15" x14ac:dyDescent="0.2">
      <c r="A111" s="123" t="s">
        <v>116</v>
      </c>
      <c r="B111" s="157">
        <v>6.4999999999999997E-3</v>
      </c>
      <c r="C111" s="124">
        <f>((C38+C67+C77+C95+C103+C107+C108)/(1-B109))*B111</f>
        <v>57.798503773521432</v>
      </c>
      <c r="D111" s="124">
        <f>((D38+D67+D77+D95+D103+D107+D108)/(1-B109))*B111</f>
        <v>46.634069382262645</v>
      </c>
      <c r="E111" s="124">
        <f>((E38+E67+E77+E95+E103+E107+E108)/(1-B109))*B111</f>
        <v>51.078642134107191</v>
      </c>
      <c r="F111" s="124">
        <f>((F38+F67+F77+F95+F103+F107+F108)/(1-B109))*B111</f>
        <v>57.800387734176532</v>
      </c>
      <c r="G111" s="124">
        <f>((G38+G67+G77+G95+G103+G107+G108)/(1-B109))*B111</f>
        <v>46.634069382262645</v>
      </c>
    </row>
    <row r="112" spans="1:9" ht="15" x14ac:dyDescent="0.2">
      <c r="A112" s="123" t="s">
        <v>83</v>
      </c>
      <c r="B112" s="157"/>
      <c r="C112" s="125"/>
      <c r="D112" s="125"/>
      <c r="E112" s="125"/>
      <c r="F112" s="125"/>
      <c r="G112" s="125"/>
    </row>
    <row r="113" spans="1:9" ht="15" x14ac:dyDescent="0.2">
      <c r="A113" s="123" t="s">
        <v>84</v>
      </c>
      <c r="B113" s="157">
        <v>0.05</v>
      </c>
      <c r="C113" s="124">
        <f>((C38+C67+C77+C95+C103+C107+C108)/(1-B109))*B113</f>
        <v>444.60387518093415</v>
      </c>
      <c r="D113" s="124">
        <f>((D38+D67+D77+D95+D103+D107+D108)/(1-B109))*B113</f>
        <v>358.72361063278959</v>
      </c>
      <c r="E113" s="124">
        <f>((E38+E67+E77+E95+E103+E107+E108)/(1-B109))*B113</f>
        <v>392.91263180082456</v>
      </c>
      <c r="F113" s="124">
        <f>((F38+F67+F77+F95+F103+F107+F108)/(1-B109))*B113</f>
        <v>444.61836718597334</v>
      </c>
      <c r="G113" s="124">
        <f>((G38+G67+G77+G95+G103+G107+G108)/(1-B109))*B113</f>
        <v>358.72361063278959</v>
      </c>
    </row>
    <row r="114" spans="1:9" ht="15" x14ac:dyDescent="0.2">
      <c r="A114" s="123" t="s">
        <v>85</v>
      </c>
      <c r="B114" s="126"/>
      <c r="C114" s="127"/>
      <c r="D114" s="127"/>
      <c r="E114" s="127"/>
      <c r="F114" s="127"/>
      <c r="G114" s="127"/>
    </row>
    <row r="115" spans="1:9" ht="15" x14ac:dyDescent="0.2">
      <c r="A115" s="120" t="s">
        <v>18</v>
      </c>
      <c r="B115" s="128"/>
      <c r="C115" s="86">
        <f>SUM(C107:C109)</f>
        <v>913.42668943428407</v>
      </c>
      <c r="D115" s="86">
        <f>SUM(D107:D109)</f>
        <v>736.98799847139401</v>
      </c>
      <c r="E115" s="86">
        <f>SUM(E107:E109)</f>
        <v>807.22842183209457</v>
      </c>
      <c r="F115" s="86">
        <f>SUM(F107:F109)</f>
        <v>913.4564628684019</v>
      </c>
      <c r="G115" s="86">
        <f>SUM(G107:G109)</f>
        <v>736.98799847139401</v>
      </c>
    </row>
    <row r="116" spans="1:9" x14ac:dyDescent="0.2">
      <c r="A116" s="96"/>
      <c r="B116" s="160"/>
      <c r="C116" s="97"/>
      <c r="D116" s="14"/>
    </row>
    <row r="117" spans="1:9" ht="16.7" customHeight="1" x14ac:dyDescent="0.2">
      <c r="A117" s="584" t="s">
        <v>86</v>
      </c>
      <c r="B117" s="584"/>
      <c r="C117" s="584"/>
      <c r="D117" s="584"/>
      <c r="E117" s="584"/>
      <c r="F117" s="229"/>
      <c r="G117" s="229"/>
    </row>
    <row r="118" spans="1:9" ht="16.7" customHeight="1" x14ac:dyDescent="0.2">
      <c r="A118" s="585" t="s">
        <v>87</v>
      </c>
      <c r="B118" s="585"/>
      <c r="C118" s="129" t="s">
        <v>19</v>
      </c>
      <c r="D118" s="129" t="s">
        <v>19</v>
      </c>
      <c r="E118" s="129" t="s">
        <v>19</v>
      </c>
      <c r="F118" s="129" t="s">
        <v>19</v>
      </c>
      <c r="G118" s="129" t="s">
        <v>19</v>
      </c>
    </row>
    <row r="119" spans="1:9" ht="16.7" customHeight="1" x14ac:dyDescent="0.2">
      <c r="A119" s="581" t="s">
        <v>88</v>
      </c>
      <c r="B119" s="581"/>
      <c r="C119" s="75">
        <f>C38</f>
        <v>4044.46</v>
      </c>
      <c r="D119" s="75">
        <f>D38</f>
        <v>3371.85</v>
      </c>
      <c r="E119" s="75">
        <f>E38</f>
        <v>3739.69</v>
      </c>
      <c r="F119" s="75">
        <f>F38</f>
        <v>4113.6499999999996</v>
      </c>
      <c r="G119" s="75">
        <f>G38</f>
        <v>3371.85</v>
      </c>
      <c r="H119" s="589">
        <f>Proposta!K29</f>
        <v>4288759.92</v>
      </c>
      <c r="I119" s="590"/>
    </row>
    <row r="120" spans="1:9" ht="16.7" customHeight="1" x14ac:dyDescent="0.2">
      <c r="A120" s="581" t="s">
        <v>89</v>
      </c>
      <c r="B120" s="581"/>
      <c r="C120" s="75">
        <f>C67</f>
        <v>3599.7128000000002</v>
      </c>
      <c r="D120" s="75">
        <f>D67</f>
        <v>2779.5262000000002</v>
      </c>
      <c r="E120" s="75">
        <f>E67</f>
        <v>3006.1361999999999</v>
      </c>
      <c r="F120" s="75">
        <f>F67</f>
        <v>3236.5362</v>
      </c>
      <c r="G120" s="75">
        <f>G67</f>
        <v>2779.5262000000002</v>
      </c>
    </row>
    <row r="121" spans="1:9" ht="16.7" customHeight="1" x14ac:dyDescent="0.2">
      <c r="A121" s="581" t="s">
        <v>90</v>
      </c>
      <c r="B121" s="581"/>
      <c r="C121" s="75">
        <f>C77</f>
        <v>168.76</v>
      </c>
      <c r="D121" s="75">
        <f>D77</f>
        <v>140.70000000000002</v>
      </c>
      <c r="E121" s="75">
        <f>E77</f>
        <v>156.05000000000001</v>
      </c>
      <c r="F121" s="75">
        <f>F77</f>
        <v>171.65</v>
      </c>
      <c r="G121" s="75">
        <f>G77</f>
        <v>140.70000000000002</v>
      </c>
    </row>
    <row r="122" spans="1:9" ht="16.7" customHeight="1" x14ac:dyDescent="0.2">
      <c r="A122" s="581" t="s">
        <v>91</v>
      </c>
      <c r="B122" s="581"/>
      <c r="C122" s="75">
        <f>C95</f>
        <v>40.850000000000009</v>
      </c>
      <c r="D122" s="75">
        <f>D95</f>
        <v>34.040000000000006</v>
      </c>
      <c r="E122" s="75">
        <f>E95</f>
        <v>37.78</v>
      </c>
      <c r="F122" s="75">
        <f>F95</f>
        <v>41.54</v>
      </c>
      <c r="G122" s="75">
        <f>G95</f>
        <v>34.040000000000006</v>
      </c>
    </row>
    <row r="123" spans="1:9" ht="16.7" customHeight="1" x14ac:dyDescent="0.2">
      <c r="A123" s="581" t="s">
        <v>92</v>
      </c>
      <c r="B123" s="581"/>
      <c r="C123" s="75">
        <f>C103</f>
        <v>124.86801418439717</v>
      </c>
      <c r="D123" s="75">
        <f>D103</f>
        <v>111.36801418439717</v>
      </c>
      <c r="E123" s="75">
        <f>E103</f>
        <v>111.36801418439717</v>
      </c>
      <c r="F123" s="75">
        <f>F103</f>
        <v>415.53468085106385</v>
      </c>
      <c r="G123" s="75">
        <f>G103</f>
        <v>111.36801418439717</v>
      </c>
    </row>
    <row r="124" spans="1:9" ht="16.7" customHeight="1" x14ac:dyDescent="0.2">
      <c r="A124" s="582" t="s">
        <v>93</v>
      </c>
      <c r="B124" s="582"/>
      <c r="C124" s="130">
        <f>SUM(C119:C123)</f>
        <v>7978.6508141843979</v>
      </c>
      <c r="D124" s="130">
        <f>SUM(D119:D123)</f>
        <v>6437.4842141843974</v>
      </c>
      <c r="E124" s="130">
        <f>SUM(E119:E123)</f>
        <v>7051.0242141843964</v>
      </c>
      <c r="F124" s="130">
        <f>SUM(F119:F123)</f>
        <v>7978.9108808510637</v>
      </c>
      <c r="G124" s="130">
        <f>SUM(G119:G123)</f>
        <v>6437.4842141843974</v>
      </c>
    </row>
    <row r="125" spans="1:9" ht="16.7" customHeight="1" x14ac:dyDescent="0.2">
      <c r="A125" s="581" t="s">
        <v>94</v>
      </c>
      <c r="B125" s="581"/>
      <c r="C125" s="75">
        <f>C115</f>
        <v>913.42668943428407</v>
      </c>
      <c r="D125" s="75">
        <f>D115</f>
        <v>736.98799847139401</v>
      </c>
      <c r="E125" s="75">
        <f>E115</f>
        <v>807.22842183209457</v>
      </c>
      <c r="F125" s="75">
        <f>F115</f>
        <v>913.4564628684019</v>
      </c>
      <c r="G125" s="75">
        <f>G115</f>
        <v>736.98799847139401</v>
      </c>
    </row>
    <row r="126" spans="1:9" ht="15" x14ac:dyDescent="0.2">
      <c r="A126" s="131" t="s">
        <v>95</v>
      </c>
      <c r="B126" s="132"/>
      <c r="C126" s="133">
        <f>ROUND(C119+C120+C121+C122+C123+C125,2)</f>
        <v>8892.08</v>
      </c>
      <c r="D126" s="133">
        <f>ROUND(D119+D120+D121+D122+D123+D125,2)</f>
        <v>7174.47</v>
      </c>
      <c r="E126" s="133">
        <f>ROUND(E119+E120+E121+E122+E123+E125,2)</f>
        <v>7858.25</v>
      </c>
      <c r="F126" s="133">
        <f>ROUND(F119+F120+F121+F122+F123+F125,2)</f>
        <v>8892.3700000000008</v>
      </c>
      <c r="G126" s="133">
        <f>ROUND(G119+G120+G121+G122+G123+G125,2)</f>
        <v>7174.47</v>
      </c>
    </row>
    <row r="127" spans="1:9" ht="15" x14ac:dyDescent="0.2">
      <c r="A127" s="87"/>
      <c r="B127" s="121" t="s">
        <v>173</v>
      </c>
      <c r="C127" s="38">
        <f>C126/C38</f>
        <v>2.1985827527036985</v>
      </c>
      <c r="D127" s="38">
        <f>D126/D38</f>
        <v>2.1277547933626941</v>
      </c>
      <c r="E127" s="168">
        <f>E126/E38</f>
        <v>2.1013105364348381</v>
      </c>
      <c r="F127" s="168">
        <f>F126/F38</f>
        <v>2.1616739392024118</v>
      </c>
      <c r="G127" s="168">
        <f>G126/G38</f>
        <v>2.1277547933626941</v>
      </c>
    </row>
    <row r="128" spans="1:9" ht="19.5" thickBot="1" x14ac:dyDescent="0.35">
      <c r="A128" s="580" t="s">
        <v>96</v>
      </c>
      <c r="B128" s="580"/>
      <c r="C128" s="580"/>
      <c r="D128" s="580"/>
    </row>
    <row r="129" spans="1:7" ht="29.25" thickBot="1" x14ac:dyDescent="0.25">
      <c r="A129" s="134" t="s">
        <v>97</v>
      </c>
      <c r="B129" s="135" t="s">
        <v>98</v>
      </c>
      <c r="C129" s="135" t="s">
        <v>99</v>
      </c>
      <c r="D129" s="134" t="s">
        <v>100</v>
      </c>
    </row>
    <row r="130" spans="1:7" ht="13.5" thickBot="1" x14ac:dyDescent="0.25">
      <c r="A130" s="136" t="s">
        <v>425</v>
      </c>
      <c r="B130" s="137">
        <v>1</v>
      </c>
      <c r="C130" s="138">
        <f>C126</f>
        <v>8892.08</v>
      </c>
      <c r="D130" s="139">
        <f>C130</f>
        <v>8892.08</v>
      </c>
    </row>
    <row r="131" spans="1:7" ht="13.5" thickBot="1" x14ac:dyDescent="0.25">
      <c r="A131" s="136" t="s">
        <v>426</v>
      </c>
      <c r="B131" s="137">
        <f>D16</f>
        <v>10</v>
      </c>
      <c r="C131" s="138">
        <f>D126*2</f>
        <v>14348.94</v>
      </c>
      <c r="D131" s="139">
        <f>B131*C131</f>
        <v>143489.4</v>
      </c>
    </row>
    <row r="132" spans="1:7" ht="13.5" thickBot="1" x14ac:dyDescent="0.25">
      <c r="A132" s="136" t="s">
        <v>427</v>
      </c>
      <c r="B132" s="137">
        <f>E16</f>
        <v>11</v>
      </c>
      <c r="C132" s="138">
        <f>E126*2</f>
        <v>15716.5</v>
      </c>
      <c r="D132" s="139">
        <f>B132*C132</f>
        <v>172881.5</v>
      </c>
    </row>
    <row r="133" spans="1:7" ht="13.5" thickBot="1" x14ac:dyDescent="0.25">
      <c r="A133" s="136" t="s">
        <v>428</v>
      </c>
      <c r="B133" s="137">
        <f>C16</f>
        <v>1</v>
      </c>
      <c r="C133" s="138">
        <f>F126*2</f>
        <v>17784.740000000002</v>
      </c>
      <c r="D133" s="139">
        <f>B133*C133</f>
        <v>17784.740000000002</v>
      </c>
    </row>
    <row r="134" spans="1:7" ht="13.5" thickBot="1" x14ac:dyDescent="0.25">
      <c r="A134" s="136" t="s">
        <v>429</v>
      </c>
      <c r="B134" s="137">
        <v>1</v>
      </c>
      <c r="C134" s="138">
        <f>G126*2</f>
        <v>14348.94</v>
      </c>
      <c r="D134" s="139">
        <f>B134*C134</f>
        <v>14348.94</v>
      </c>
    </row>
    <row r="135" spans="1:7" ht="16.5" customHeight="1" thickBot="1" x14ac:dyDescent="0.25">
      <c r="A135" s="591" t="s">
        <v>101</v>
      </c>
      <c r="B135" s="592"/>
      <c r="C135" s="593"/>
      <c r="D135" s="139">
        <f>SUM(D130:D134)</f>
        <v>357396.66</v>
      </c>
      <c r="E135" s="159"/>
      <c r="F135" s="159"/>
      <c r="G135" s="159"/>
    </row>
    <row r="136" spans="1:7" ht="13.5" thickBot="1" x14ac:dyDescent="0.25">
      <c r="A136" s="591" t="s">
        <v>128</v>
      </c>
      <c r="B136" s="592"/>
      <c r="C136" s="593"/>
      <c r="D136" s="139">
        <f>D135*12</f>
        <v>4288759.92</v>
      </c>
      <c r="E136" s="159"/>
      <c r="F136" s="159"/>
      <c r="G136" s="159"/>
    </row>
    <row r="137" spans="1:7" x14ac:dyDescent="0.2">
      <c r="D137" s="140"/>
    </row>
    <row r="138" spans="1:7" x14ac:dyDescent="0.2">
      <c r="D138" s="159"/>
    </row>
    <row r="139" spans="1:7" x14ac:dyDescent="0.2">
      <c r="D139" s="156"/>
    </row>
    <row r="140" spans="1:7" x14ac:dyDescent="0.2">
      <c r="D140" s="156"/>
    </row>
    <row r="141" spans="1:7" x14ac:dyDescent="0.2">
      <c r="D141" s="159"/>
    </row>
  </sheetData>
  <mergeCells count="37">
    <mergeCell ref="H119:I119"/>
    <mergeCell ref="A136:C136"/>
    <mergeCell ref="A135:C135"/>
    <mergeCell ref="A1:D1"/>
    <mergeCell ref="B4:E4"/>
    <mergeCell ref="B5:E5"/>
    <mergeCell ref="B6:E6"/>
    <mergeCell ref="A2:E2"/>
    <mergeCell ref="B9:E9"/>
    <mergeCell ref="B10:E10"/>
    <mergeCell ref="B11:E11"/>
    <mergeCell ref="B12:E12"/>
    <mergeCell ref="A14:E14"/>
    <mergeCell ref="A19:E19"/>
    <mergeCell ref="A20:E20"/>
    <mergeCell ref="B21:E21"/>
    <mergeCell ref="B22:E22"/>
    <mergeCell ref="B23:E23"/>
    <mergeCell ref="B24:E24"/>
    <mergeCell ref="B25:E25"/>
    <mergeCell ref="B26:E26"/>
    <mergeCell ref="A29:E29"/>
    <mergeCell ref="A40:E40"/>
    <mergeCell ref="A69:E69"/>
    <mergeCell ref="A79:E79"/>
    <mergeCell ref="A97:E97"/>
    <mergeCell ref="A105:E105"/>
    <mergeCell ref="A117:E117"/>
    <mergeCell ref="A118:B118"/>
    <mergeCell ref="A119:B119"/>
    <mergeCell ref="A120:B120"/>
    <mergeCell ref="A128:D128"/>
    <mergeCell ref="A121:B121"/>
    <mergeCell ref="A122:B122"/>
    <mergeCell ref="A123:B123"/>
    <mergeCell ref="A124:B124"/>
    <mergeCell ref="A125:B125"/>
  </mergeCells>
  <pageMargins left="0.78749999999999998" right="0.78749999999999998" top="0.78749999999999998" bottom="0.78749999999999998" header="0.511811023622047" footer="0.511811023622047"/>
  <pageSetup paperSize="9" scale="65" orientation="portrait" horizontalDpi="300" verticalDpi="300" r:id="rId1"/>
  <rowBreaks count="2" manualBreakCount="2">
    <brk id="54" max="16383" man="1"/>
    <brk id="67" max="16383" man="1"/>
  </rowBreaks>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62"/>
  <sheetViews>
    <sheetView topLeftCell="A37" zoomScaleNormal="100" workbookViewId="0">
      <selection activeCell="E45" sqref="E45"/>
    </sheetView>
  </sheetViews>
  <sheetFormatPr defaultColWidth="8.28515625" defaultRowHeight="12.75" x14ac:dyDescent="0.2"/>
  <cols>
    <col min="1" max="1" width="6.7109375" style="1" customWidth="1"/>
    <col min="2" max="2" width="41.140625" style="1" customWidth="1"/>
    <col min="3" max="3" width="11.140625" style="1" customWidth="1"/>
    <col min="4" max="4" width="9.42578125" style="1" customWidth="1"/>
    <col min="5" max="5" width="19" style="1" customWidth="1"/>
    <col min="6" max="6" width="17.7109375" style="1" customWidth="1"/>
    <col min="7" max="7" width="17.140625" style="1" customWidth="1"/>
    <col min="8" max="8" width="10.28515625" style="1" bestFit="1" customWidth="1"/>
    <col min="9" max="16384" width="8.28515625" style="1"/>
  </cols>
  <sheetData>
    <row r="1" spans="1:7" ht="15.75" x14ac:dyDescent="0.2">
      <c r="A1" s="610" t="s">
        <v>8</v>
      </c>
      <c r="B1" s="610"/>
      <c r="C1" s="610"/>
      <c r="D1" s="610"/>
      <c r="E1" s="610"/>
      <c r="F1" s="610"/>
    </row>
    <row r="2" spans="1:7" x14ac:dyDescent="0.2">
      <c r="A2" s="2"/>
      <c r="B2" s="3"/>
      <c r="C2" s="2"/>
      <c r="D2" s="2"/>
      <c r="E2" s="2"/>
      <c r="F2" s="2"/>
    </row>
    <row r="3" spans="1:7" x14ac:dyDescent="0.2">
      <c r="A3" s="611" t="s">
        <v>9</v>
      </c>
      <c r="B3" s="611"/>
      <c r="C3" s="611"/>
      <c r="D3" s="611"/>
      <c r="E3" s="611"/>
      <c r="F3" s="611"/>
    </row>
    <row r="4" spans="1:7" ht="25.5" x14ac:dyDescent="0.2">
      <c r="A4" s="4" t="s">
        <v>10</v>
      </c>
      <c r="B4" s="4" t="s">
        <v>11</v>
      </c>
      <c r="C4" s="4" t="s">
        <v>12</v>
      </c>
      <c r="D4" s="4" t="s">
        <v>13</v>
      </c>
      <c r="E4" s="5" t="s">
        <v>127</v>
      </c>
      <c r="F4" s="5" t="s">
        <v>6</v>
      </c>
    </row>
    <row r="5" spans="1:7" ht="17.100000000000001" customHeight="1" x14ac:dyDescent="0.2">
      <c r="A5" s="6">
        <v>1</v>
      </c>
      <c r="B5" s="7" t="s">
        <v>14</v>
      </c>
      <c r="C5" s="6" t="s">
        <v>117</v>
      </c>
      <c r="D5" s="8">
        <v>4</v>
      </c>
      <c r="E5" s="10">
        <v>60</v>
      </c>
      <c r="F5" s="10">
        <f t="shared" ref="F5:F13" si="0">D5*E5/12</f>
        <v>20</v>
      </c>
      <c r="G5" s="1">
        <v>60</v>
      </c>
    </row>
    <row r="6" spans="1:7" ht="17.100000000000001" customHeight="1" x14ac:dyDescent="0.2">
      <c r="A6" s="6">
        <v>2</v>
      </c>
      <c r="B6" s="7" t="s">
        <v>218</v>
      </c>
      <c r="C6" s="6" t="s">
        <v>117</v>
      </c>
      <c r="D6" s="8">
        <v>2</v>
      </c>
      <c r="E6" s="10">
        <v>10</v>
      </c>
      <c r="F6" s="10">
        <f t="shared" si="0"/>
        <v>1.6666666666666667</v>
      </c>
      <c r="G6" s="1">
        <v>10</v>
      </c>
    </row>
    <row r="7" spans="1:7" ht="17.100000000000001" customHeight="1" x14ac:dyDescent="0.2">
      <c r="A7" s="6">
        <v>3</v>
      </c>
      <c r="B7" s="7" t="s">
        <v>219</v>
      </c>
      <c r="C7" s="6" t="s">
        <v>117</v>
      </c>
      <c r="D7" s="8">
        <v>4</v>
      </c>
      <c r="E7" s="10">
        <v>45</v>
      </c>
      <c r="F7" s="10">
        <f t="shared" si="0"/>
        <v>15</v>
      </c>
      <c r="G7" s="1">
        <v>45</v>
      </c>
    </row>
    <row r="8" spans="1:7" ht="17.100000000000001" customHeight="1" x14ac:dyDescent="0.2">
      <c r="A8" s="6">
        <v>4</v>
      </c>
      <c r="B8" s="7" t="s">
        <v>220</v>
      </c>
      <c r="C8" s="6" t="s">
        <v>117</v>
      </c>
      <c r="D8" s="8">
        <v>4</v>
      </c>
      <c r="E8" s="10">
        <v>42</v>
      </c>
      <c r="F8" s="10">
        <f t="shared" si="0"/>
        <v>14</v>
      </c>
      <c r="G8" s="1">
        <v>42</v>
      </c>
    </row>
    <row r="9" spans="1:7" ht="17.100000000000001" customHeight="1" x14ac:dyDescent="0.2">
      <c r="A9" s="6">
        <v>5</v>
      </c>
      <c r="B9" s="7" t="s">
        <v>221</v>
      </c>
      <c r="C9" s="6" t="s">
        <v>118</v>
      </c>
      <c r="D9" s="8">
        <v>4</v>
      </c>
      <c r="E9" s="10">
        <v>40</v>
      </c>
      <c r="F9" s="10">
        <f t="shared" si="0"/>
        <v>13.333333333333334</v>
      </c>
      <c r="G9" s="1">
        <v>40</v>
      </c>
    </row>
    <row r="10" spans="1:7" ht="17.100000000000001" customHeight="1" x14ac:dyDescent="0.2">
      <c r="A10" s="6">
        <v>6</v>
      </c>
      <c r="B10" s="7" t="s">
        <v>222</v>
      </c>
      <c r="C10" s="6" t="s">
        <v>15</v>
      </c>
      <c r="D10" s="8">
        <v>8</v>
      </c>
      <c r="E10" s="10">
        <v>5</v>
      </c>
      <c r="F10" s="10">
        <f t="shared" si="0"/>
        <v>3.3333333333333335</v>
      </c>
      <c r="G10" s="1">
        <v>5</v>
      </c>
    </row>
    <row r="11" spans="1:7" ht="17.100000000000001" customHeight="1" x14ac:dyDescent="0.2">
      <c r="A11" s="6">
        <v>7</v>
      </c>
      <c r="B11" s="7" t="s">
        <v>223</v>
      </c>
      <c r="C11" s="6" t="s">
        <v>15</v>
      </c>
      <c r="D11" s="8">
        <v>2</v>
      </c>
      <c r="E11" s="10">
        <v>10</v>
      </c>
      <c r="F11" s="10">
        <f t="shared" si="0"/>
        <v>1.6666666666666667</v>
      </c>
      <c r="G11" s="1">
        <v>10</v>
      </c>
    </row>
    <row r="12" spans="1:7" ht="17.100000000000001" customHeight="1" x14ac:dyDescent="0.2">
      <c r="A12" s="6">
        <v>8</v>
      </c>
      <c r="B12" s="7" t="s">
        <v>224</v>
      </c>
      <c r="C12" s="6" t="s">
        <v>118</v>
      </c>
      <c r="D12" s="8">
        <v>2</v>
      </c>
      <c r="E12" s="10">
        <v>55</v>
      </c>
      <c r="F12" s="10">
        <f t="shared" ref="F12" si="1">D12*E12/12</f>
        <v>9.1666666666666661</v>
      </c>
      <c r="G12" s="1">
        <v>55</v>
      </c>
    </row>
    <row r="13" spans="1:7" ht="17.100000000000001" customHeight="1" x14ac:dyDescent="0.2">
      <c r="A13" s="6">
        <v>9</v>
      </c>
      <c r="B13" s="7" t="s">
        <v>225</v>
      </c>
      <c r="C13" s="6" t="s">
        <v>118</v>
      </c>
      <c r="D13" s="8">
        <v>2</v>
      </c>
      <c r="E13" s="10">
        <v>24</v>
      </c>
      <c r="F13" s="10">
        <f t="shared" si="0"/>
        <v>4</v>
      </c>
      <c r="G13" s="1">
        <v>24</v>
      </c>
    </row>
    <row r="14" spans="1:7" x14ac:dyDescent="0.2">
      <c r="A14" s="605" t="s">
        <v>16</v>
      </c>
      <c r="B14" s="606"/>
      <c r="C14" s="606"/>
      <c r="D14" s="607"/>
      <c r="E14" s="282">
        <f>SUM(E5:E13)</f>
        <v>291</v>
      </c>
      <c r="F14" s="11">
        <f>ROUND(SUM(F5:F13),2)</f>
        <v>82.17</v>
      </c>
      <c r="G14" s="1">
        <f>SUM(G5:G13)</f>
        <v>291</v>
      </c>
    </row>
    <row r="15" spans="1:7" x14ac:dyDescent="0.2">
      <c r="A15" s="9"/>
      <c r="B15" s="9"/>
      <c r="C15" s="9"/>
      <c r="D15" s="9"/>
      <c r="E15" s="9"/>
      <c r="F15" s="9"/>
    </row>
    <row r="16" spans="1:7" x14ac:dyDescent="0.2">
      <c r="A16" s="611" t="s">
        <v>226</v>
      </c>
      <c r="B16" s="611"/>
      <c r="C16" s="611"/>
      <c r="D16" s="611"/>
      <c r="E16" s="611"/>
      <c r="F16" s="611"/>
    </row>
    <row r="17" spans="1:7" ht="25.5" x14ac:dyDescent="0.2">
      <c r="A17" s="4" t="s">
        <v>10</v>
      </c>
      <c r="B17" s="4" t="s">
        <v>11</v>
      </c>
      <c r="C17" s="4" t="s">
        <v>12</v>
      </c>
      <c r="D17" s="4" t="s">
        <v>13</v>
      </c>
      <c r="E17" s="5" t="s">
        <v>127</v>
      </c>
      <c r="F17" s="5" t="s">
        <v>6</v>
      </c>
    </row>
    <row r="18" spans="1:7" ht="17.100000000000001" customHeight="1" x14ac:dyDescent="0.2">
      <c r="A18" s="6">
        <v>1</v>
      </c>
      <c r="B18" s="7" t="s">
        <v>227</v>
      </c>
      <c r="C18" s="6" t="s">
        <v>117</v>
      </c>
      <c r="D18" s="8">
        <v>4</v>
      </c>
      <c r="E18" s="10">
        <v>120</v>
      </c>
      <c r="F18" s="10">
        <f t="shared" ref="F18:F23" si="2">D18*E18/12</f>
        <v>40</v>
      </c>
      <c r="G18" s="1">
        <v>120</v>
      </c>
    </row>
    <row r="19" spans="1:7" ht="17.100000000000001" customHeight="1" x14ac:dyDescent="0.2">
      <c r="A19" s="6">
        <v>2</v>
      </c>
      <c r="B19" s="7" t="s">
        <v>219</v>
      </c>
      <c r="C19" s="6" t="s">
        <v>117</v>
      </c>
      <c r="D19" s="8">
        <v>8</v>
      </c>
      <c r="E19" s="10">
        <v>45</v>
      </c>
      <c r="F19" s="10">
        <f t="shared" si="2"/>
        <v>30</v>
      </c>
      <c r="G19" s="1">
        <v>45</v>
      </c>
    </row>
    <row r="20" spans="1:7" ht="17.100000000000001" customHeight="1" x14ac:dyDescent="0.2">
      <c r="A20" s="6">
        <v>3</v>
      </c>
      <c r="B20" s="7" t="s">
        <v>228</v>
      </c>
      <c r="C20" s="6" t="s">
        <v>117</v>
      </c>
      <c r="D20" s="8">
        <v>2</v>
      </c>
      <c r="E20" s="10">
        <v>20</v>
      </c>
      <c r="F20" s="10">
        <f t="shared" si="2"/>
        <v>3.3333333333333335</v>
      </c>
      <c r="G20" s="1">
        <v>20</v>
      </c>
    </row>
    <row r="21" spans="1:7" ht="17.100000000000001" customHeight="1" x14ac:dyDescent="0.2">
      <c r="A21" s="6">
        <v>4</v>
      </c>
      <c r="B21" s="7" t="s">
        <v>229</v>
      </c>
      <c r="C21" s="6" t="s">
        <v>117</v>
      </c>
      <c r="D21" s="8">
        <v>4</v>
      </c>
      <c r="E21" s="10">
        <v>45</v>
      </c>
      <c r="F21" s="10">
        <f t="shared" si="2"/>
        <v>15</v>
      </c>
      <c r="G21" s="1">
        <v>45</v>
      </c>
    </row>
    <row r="22" spans="1:7" ht="17.100000000000001" customHeight="1" x14ac:dyDescent="0.2">
      <c r="A22" s="6">
        <v>5</v>
      </c>
      <c r="B22" s="7" t="s">
        <v>222</v>
      </c>
      <c r="C22" s="6" t="s">
        <v>118</v>
      </c>
      <c r="D22" s="8">
        <v>8</v>
      </c>
      <c r="E22" s="10">
        <v>5</v>
      </c>
      <c r="F22" s="10">
        <f t="shared" si="2"/>
        <v>3.3333333333333335</v>
      </c>
      <c r="G22" s="1">
        <v>5</v>
      </c>
    </row>
    <row r="23" spans="1:7" ht="17.100000000000001" customHeight="1" x14ac:dyDescent="0.2">
      <c r="A23" s="6">
        <v>6</v>
      </c>
      <c r="B23" s="7" t="s">
        <v>225</v>
      </c>
      <c r="C23" s="6" t="s">
        <v>15</v>
      </c>
      <c r="D23" s="8">
        <v>2</v>
      </c>
      <c r="E23" s="10">
        <v>24</v>
      </c>
      <c r="F23" s="10">
        <f t="shared" si="2"/>
        <v>4</v>
      </c>
      <c r="G23" s="1">
        <v>24</v>
      </c>
    </row>
    <row r="24" spans="1:7" x14ac:dyDescent="0.2">
      <c r="A24" s="281" t="s">
        <v>16</v>
      </c>
      <c r="B24" s="281"/>
      <c r="C24" s="281"/>
      <c r="D24" s="281"/>
      <c r="E24" s="282">
        <f>SUM(E18:E23)</f>
        <v>259</v>
      </c>
      <c r="F24" s="11">
        <f>ROUND(SUM(F18:F23),2)</f>
        <v>95.67</v>
      </c>
      <c r="G24" s="1">
        <f>SUM(G18:G23)</f>
        <v>259</v>
      </c>
    </row>
    <row r="25" spans="1:7" x14ac:dyDescent="0.2">
      <c r="A25" s="605"/>
      <c r="B25" s="606"/>
      <c r="C25" s="606"/>
      <c r="D25" s="606"/>
      <c r="E25" s="606"/>
      <c r="F25" s="607"/>
    </row>
    <row r="26" spans="1:7" ht="22.5" customHeight="1" x14ac:dyDescent="0.2">
      <c r="A26" s="608" t="s">
        <v>205</v>
      </c>
      <c r="B26" s="609"/>
      <c r="C26" s="609"/>
      <c r="D26" s="609"/>
      <c r="E26" s="609"/>
      <c r="F26" s="609"/>
      <c r="G26" s="609"/>
    </row>
    <row r="27" spans="1:7" ht="25.5" x14ac:dyDescent="0.2">
      <c r="A27" s="4" t="s">
        <v>10</v>
      </c>
      <c r="B27" s="4" t="s">
        <v>11</v>
      </c>
      <c r="C27" s="4" t="s">
        <v>12</v>
      </c>
      <c r="D27" s="4" t="s">
        <v>13</v>
      </c>
      <c r="E27" s="5" t="s">
        <v>127</v>
      </c>
      <c r="F27" s="5" t="s">
        <v>6</v>
      </c>
      <c r="G27" s="234" t="s">
        <v>234</v>
      </c>
    </row>
    <row r="28" spans="1:7" ht="35.25" customHeight="1" x14ac:dyDescent="0.2">
      <c r="A28" s="6">
        <v>1</v>
      </c>
      <c r="B28" s="230" t="s">
        <v>194</v>
      </c>
      <c r="C28" s="6" t="s">
        <v>118</v>
      </c>
      <c r="D28" s="8">
        <v>18</v>
      </c>
      <c r="E28" s="10">
        <v>50</v>
      </c>
      <c r="F28" s="10">
        <f>ROUND(D28*E28,2)</f>
        <v>900</v>
      </c>
      <c r="G28" s="10">
        <f>F28/12</f>
        <v>75</v>
      </c>
    </row>
    <row r="29" spans="1:7" ht="30.75" customHeight="1" x14ac:dyDescent="0.2">
      <c r="A29" s="6">
        <v>2</v>
      </c>
      <c r="B29" s="230" t="s">
        <v>195</v>
      </c>
      <c r="C29" s="6" t="s">
        <v>118</v>
      </c>
      <c r="D29" s="8">
        <v>36</v>
      </c>
      <c r="E29" s="10">
        <v>5</v>
      </c>
      <c r="F29" s="10">
        <f>ROUND(D29*E29,2)</f>
        <v>180</v>
      </c>
      <c r="G29" s="10">
        <f>F29</f>
        <v>180</v>
      </c>
    </row>
    <row r="30" spans="1:7" x14ac:dyDescent="0.2">
      <c r="A30" s="6">
        <v>3</v>
      </c>
      <c r="B30" s="230" t="s">
        <v>196</v>
      </c>
      <c r="C30" s="6" t="s">
        <v>118</v>
      </c>
      <c r="D30" s="8">
        <v>8</v>
      </c>
      <c r="E30" s="10">
        <v>15</v>
      </c>
      <c r="F30" s="10">
        <f t="shared" ref="F30:F38" si="3">ROUND(D30*E30,2)</f>
        <v>120</v>
      </c>
      <c r="G30" s="10">
        <f>F30/12</f>
        <v>10</v>
      </c>
    </row>
    <row r="31" spans="1:7" ht="47.25" customHeight="1" x14ac:dyDescent="0.2">
      <c r="A31" s="6">
        <v>4</v>
      </c>
      <c r="B31" s="230" t="s">
        <v>197</v>
      </c>
      <c r="C31" s="6" t="s">
        <v>118</v>
      </c>
      <c r="D31" s="8">
        <v>18</v>
      </c>
      <c r="E31" s="10">
        <v>20</v>
      </c>
      <c r="F31" s="10">
        <f t="shared" si="3"/>
        <v>360</v>
      </c>
      <c r="G31" s="10">
        <f>F31/60</f>
        <v>6</v>
      </c>
    </row>
    <row r="32" spans="1:7" ht="17.100000000000001" customHeight="1" x14ac:dyDescent="0.2">
      <c r="A32" s="6">
        <v>5</v>
      </c>
      <c r="B32" s="230" t="s">
        <v>198</v>
      </c>
      <c r="C32" s="6" t="s">
        <v>118</v>
      </c>
      <c r="D32" s="8">
        <v>18</v>
      </c>
      <c r="E32" s="10">
        <v>20</v>
      </c>
      <c r="F32" s="10">
        <f t="shared" si="3"/>
        <v>360</v>
      </c>
      <c r="G32" s="10">
        <f>F32/60</f>
        <v>6</v>
      </c>
    </row>
    <row r="33" spans="1:7" ht="35.25" customHeight="1" x14ac:dyDescent="0.2">
      <c r="A33" s="6">
        <v>6</v>
      </c>
      <c r="B33" s="230" t="s">
        <v>199</v>
      </c>
      <c r="C33" s="6" t="s">
        <v>118</v>
      </c>
      <c r="D33" s="8">
        <v>18</v>
      </c>
      <c r="E33" s="10">
        <v>10</v>
      </c>
      <c r="F33" s="10">
        <f t="shared" si="3"/>
        <v>180</v>
      </c>
      <c r="G33" s="10">
        <f>F33/24</f>
        <v>7.5</v>
      </c>
    </row>
    <row r="34" spans="1:7" ht="93.75" customHeight="1" x14ac:dyDescent="0.2">
      <c r="A34" s="6">
        <v>7</v>
      </c>
      <c r="B34" s="230" t="s">
        <v>200</v>
      </c>
      <c r="C34" s="6" t="s">
        <v>118</v>
      </c>
      <c r="D34" s="8">
        <v>18</v>
      </c>
      <c r="E34" s="10">
        <v>350</v>
      </c>
      <c r="F34" s="10">
        <f t="shared" si="3"/>
        <v>6300</v>
      </c>
      <c r="G34" s="10">
        <f>F34/60</f>
        <v>105</v>
      </c>
    </row>
    <row r="35" spans="1:7" ht="25.5" x14ac:dyDescent="0.2">
      <c r="A35" s="6">
        <v>8</v>
      </c>
      <c r="B35" s="230" t="s">
        <v>201</v>
      </c>
      <c r="C35" s="6" t="s">
        <v>118</v>
      </c>
      <c r="D35" s="8">
        <v>18</v>
      </c>
      <c r="E35" s="10">
        <v>50</v>
      </c>
      <c r="F35" s="10">
        <f t="shared" si="3"/>
        <v>900</v>
      </c>
      <c r="G35" s="10">
        <f>F35/12</f>
        <v>75</v>
      </c>
    </row>
    <row r="36" spans="1:7" x14ac:dyDescent="0.2">
      <c r="A36" s="6">
        <v>9</v>
      </c>
      <c r="B36" s="230" t="s">
        <v>202</v>
      </c>
      <c r="C36" s="6" t="s">
        <v>118</v>
      </c>
      <c r="D36" s="8">
        <v>18</v>
      </c>
      <c r="E36" s="10">
        <v>15</v>
      </c>
      <c r="F36" s="10">
        <f t="shared" si="3"/>
        <v>270</v>
      </c>
      <c r="G36" s="10">
        <f>F36/12</f>
        <v>22.5</v>
      </c>
    </row>
    <row r="37" spans="1:7" ht="17.100000000000001" customHeight="1" x14ac:dyDescent="0.2">
      <c r="A37" s="6">
        <v>10</v>
      </c>
      <c r="B37" s="230" t="s">
        <v>203</v>
      </c>
      <c r="C37" s="6" t="s">
        <v>118</v>
      </c>
      <c r="D37" s="8">
        <v>47</v>
      </c>
      <c r="E37" s="10">
        <v>2.5</v>
      </c>
      <c r="F37" s="10">
        <f t="shared" si="3"/>
        <v>117.5</v>
      </c>
      <c r="G37" s="10">
        <f>F37/12</f>
        <v>9.7916666666666661</v>
      </c>
    </row>
    <row r="38" spans="1:7" ht="62.25" customHeight="1" x14ac:dyDescent="0.2">
      <c r="A38" s="6">
        <v>11</v>
      </c>
      <c r="B38" s="230" t="s">
        <v>204</v>
      </c>
      <c r="C38" s="6" t="s">
        <v>118</v>
      </c>
      <c r="D38" s="8">
        <v>17</v>
      </c>
      <c r="E38" s="10">
        <v>10</v>
      </c>
      <c r="F38" s="10">
        <f t="shared" si="3"/>
        <v>170</v>
      </c>
      <c r="G38" s="10">
        <f>F38</f>
        <v>170</v>
      </c>
    </row>
    <row r="39" spans="1:7" x14ac:dyDescent="0.2">
      <c r="A39" s="604" t="s">
        <v>217</v>
      </c>
      <c r="B39" s="604"/>
      <c r="C39" s="604"/>
      <c r="D39" s="604"/>
      <c r="E39" s="604"/>
      <c r="F39" s="11">
        <f>ROUND(SUM(F27:F38),2)</f>
        <v>9857.5</v>
      </c>
      <c r="G39" s="11">
        <f>ROUND(SUM(G27:G38),2)</f>
        <v>666.79</v>
      </c>
    </row>
    <row r="40" spans="1:7" x14ac:dyDescent="0.2">
      <c r="A40" s="605" t="s">
        <v>236</v>
      </c>
      <c r="B40" s="606"/>
      <c r="C40" s="606"/>
      <c r="D40" s="606"/>
      <c r="E40" s="606"/>
      <c r="F40" s="607"/>
      <c r="G40" s="11">
        <f>G39/Proposta!G25</f>
        <v>14.187021276595743</v>
      </c>
    </row>
    <row r="41" spans="1:7" x14ac:dyDescent="0.2">
      <c r="A41" s="231"/>
      <c r="B41" s="232"/>
      <c r="C41" s="232"/>
      <c r="D41" s="232"/>
      <c r="E41" s="232"/>
      <c r="F41" s="232"/>
      <c r="G41" s="233"/>
    </row>
    <row r="42" spans="1:7" ht="22.5" customHeight="1" x14ac:dyDescent="0.2">
      <c r="A42" s="608" t="s">
        <v>206</v>
      </c>
      <c r="B42" s="609"/>
      <c r="C42" s="609"/>
      <c r="D42" s="609"/>
      <c r="E42" s="609"/>
      <c r="F42" s="609"/>
      <c r="G42" s="609"/>
    </row>
    <row r="43" spans="1:7" ht="25.5" x14ac:dyDescent="0.2">
      <c r="A43" s="4" t="s">
        <v>10</v>
      </c>
      <c r="B43" s="4" t="s">
        <v>11</v>
      </c>
      <c r="C43" s="4" t="s">
        <v>12</v>
      </c>
      <c r="D43" s="4" t="s">
        <v>13</v>
      </c>
      <c r="E43" s="5" t="s">
        <v>127</v>
      </c>
      <c r="F43" s="5" t="s">
        <v>6</v>
      </c>
      <c r="G43" s="234" t="s">
        <v>234</v>
      </c>
    </row>
    <row r="44" spans="1:7" ht="25.5" x14ac:dyDescent="0.2">
      <c r="A44" s="6">
        <v>1</v>
      </c>
      <c r="B44" s="230" t="s">
        <v>207</v>
      </c>
      <c r="C44" s="6" t="s">
        <v>118</v>
      </c>
      <c r="D44" s="8">
        <v>18</v>
      </c>
      <c r="E44" s="10">
        <v>2320</v>
      </c>
      <c r="F44" s="10">
        <f>ROUND(D44*E44,2)</f>
        <v>41760</v>
      </c>
      <c r="G44" s="10">
        <f>F44/120</f>
        <v>348</v>
      </c>
    </row>
    <row r="45" spans="1:7" ht="35.25" customHeight="1" x14ac:dyDescent="0.2">
      <c r="A45" s="6">
        <v>2</v>
      </c>
      <c r="B45" s="230" t="s">
        <v>208</v>
      </c>
      <c r="C45" s="6" t="s">
        <v>118</v>
      </c>
      <c r="D45" s="8">
        <v>108</v>
      </c>
      <c r="E45" s="10">
        <v>6</v>
      </c>
      <c r="F45" s="10">
        <f t="shared" ref="F45:F52" si="4">ROUND(D45*E45,2)</f>
        <v>648</v>
      </c>
      <c r="G45" s="10">
        <f>F45/6</f>
        <v>108</v>
      </c>
    </row>
    <row r="46" spans="1:7" ht="25.5" x14ac:dyDescent="0.2">
      <c r="A46" s="6">
        <v>3</v>
      </c>
      <c r="B46" s="230" t="s">
        <v>209</v>
      </c>
      <c r="C46" s="6" t="s">
        <v>118</v>
      </c>
      <c r="D46" s="8">
        <v>18</v>
      </c>
      <c r="E46" s="10">
        <v>50</v>
      </c>
      <c r="F46" s="10">
        <f t="shared" si="4"/>
        <v>900</v>
      </c>
      <c r="G46" s="10">
        <f>F46/60</f>
        <v>15</v>
      </c>
    </row>
    <row r="47" spans="1:7" x14ac:dyDescent="0.2">
      <c r="A47" s="6">
        <v>4</v>
      </c>
      <c r="B47" s="230" t="s">
        <v>210</v>
      </c>
      <c r="C47" s="6" t="s">
        <v>118</v>
      </c>
      <c r="D47" s="8">
        <v>18</v>
      </c>
      <c r="E47" s="10">
        <v>35</v>
      </c>
      <c r="F47" s="10">
        <f t="shared" si="4"/>
        <v>630</v>
      </c>
      <c r="G47" s="10">
        <f>F47/60</f>
        <v>10.5</v>
      </c>
    </row>
    <row r="48" spans="1:7" ht="76.5" x14ac:dyDescent="0.2">
      <c r="A48" s="6">
        <v>5</v>
      </c>
      <c r="B48" s="230" t="s">
        <v>211</v>
      </c>
      <c r="C48" s="6" t="s">
        <v>118</v>
      </c>
      <c r="D48" s="8">
        <v>18</v>
      </c>
      <c r="E48" s="10">
        <v>50</v>
      </c>
      <c r="F48" s="10">
        <f t="shared" si="4"/>
        <v>900</v>
      </c>
      <c r="G48" s="10">
        <f>F48/60</f>
        <v>15</v>
      </c>
    </row>
    <row r="49" spans="1:8" ht="17.100000000000001" customHeight="1" x14ac:dyDescent="0.2">
      <c r="A49" s="6">
        <v>6</v>
      </c>
      <c r="B49" s="230" t="s">
        <v>212</v>
      </c>
      <c r="C49" s="6" t="s">
        <v>118</v>
      </c>
      <c r="D49" s="8">
        <v>18</v>
      </c>
      <c r="E49" s="10">
        <v>387</v>
      </c>
      <c r="F49" s="10">
        <f t="shared" si="4"/>
        <v>6966</v>
      </c>
      <c r="G49" s="10">
        <f>F49/60</f>
        <v>116.1</v>
      </c>
    </row>
    <row r="50" spans="1:8" ht="204" x14ac:dyDescent="0.2">
      <c r="A50" s="6">
        <v>7</v>
      </c>
      <c r="B50" s="230" t="s">
        <v>213</v>
      </c>
      <c r="C50" s="6" t="s">
        <v>118</v>
      </c>
      <c r="D50" s="8">
        <v>18</v>
      </c>
      <c r="E50" s="10">
        <v>35</v>
      </c>
      <c r="F50" s="10">
        <f t="shared" si="4"/>
        <v>630</v>
      </c>
      <c r="G50" s="10">
        <f>F50/12</f>
        <v>52.5</v>
      </c>
    </row>
    <row r="51" spans="1:8" ht="62.25" customHeight="1" x14ac:dyDescent="0.2">
      <c r="A51" s="6">
        <v>8</v>
      </c>
      <c r="B51" s="230" t="s">
        <v>214</v>
      </c>
      <c r="C51" s="6" t="s">
        <v>118</v>
      </c>
      <c r="D51" s="8">
        <v>18</v>
      </c>
      <c r="E51" s="10">
        <v>25</v>
      </c>
      <c r="F51" s="10">
        <f t="shared" si="4"/>
        <v>450</v>
      </c>
      <c r="G51" s="10">
        <f>F51/12</f>
        <v>37.5</v>
      </c>
    </row>
    <row r="52" spans="1:8" ht="62.25" customHeight="1" x14ac:dyDescent="0.2">
      <c r="A52" s="6">
        <v>9</v>
      </c>
      <c r="B52" s="230" t="s">
        <v>215</v>
      </c>
      <c r="C52" s="6" t="s">
        <v>118</v>
      </c>
      <c r="D52" s="8">
        <v>1</v>
      </c>
      <c r="E52" s="10">
        <v>350</v>
      </c>
      <c r="F52" s="10">
        <f t="shared" si="4"/>
        <v>350</v>
      </c>
      <c r="G52" s="10">
        <f>F52/120</f>
        <v>2.9166666666666665</v>
      </c>
    </row>
    <row r="53" spans="1:8" x14ac:dyDescent="0.2">
      <c r="A53" s="604" t="s">
        <v>235</v>
      </c>
      <c r="B53" s="604"/>
      <c r="C53" s="604"/>
      <c r="D53" s="604"/>
      <c r="E53" s="604"/>
      <c r="F53" s="11">
        <f>SUM(F44:F52)</f>
        <v>53234</v>
      </c>
      <c r="G53" s="10">
        <f>SUM(G44:G52)</f>
        <v>705.51666666666665</v>
      </c>
    </row>
    <row r="54" spans="1:8" x14ac:dyDescent="0.2">
      <c r="A54" s="605" t="s">
        <v>236</v>
      </c>
      <c r="B54" s="606"/>
      <c r="C54" s="606"/>
      <c r="D54" s="606"/>
      <c r="E54" s="606"/>
      <c r="F54" s="607"/>
      <c r="G54" s="11">
        <f>G53/Proposta!G25</f>
        <v>15.010992907801418</v>
      </c>
      <c r="H54" s="155"/>
    </row>
    <row r="56" spans="1:8" x14ac:dyDescent="0.2">
      <c r="A56" s="604" t="s">
        <v>230</v>
      </c>
      <c r="B56" s="604"/>
      <c r="C56" s="604"/>
      <c r="D56" s="604"/>
      <c r="E56" s="604"/>
      <c r="F56" s="11"/>
    </row>
    <row r="57" spans="1:8" ht="153" x14ac:dyDescent="0.2">
      <c r="A57" s="6">
        <v>1</v>
      </c>
      <c r="B57" s="230" t="s">
        <v>216</v>
      </c>
      <c r="C57" s="6" t="s">
        <v>118</v>
      </c>
      <c r="D57" s="8">
        <v>1</v>
      </c>
      <c r="E57" s="10">
        <v>14000</v>
      </c>
      <c r="F57" s="10">
        <f>ROUND(D57*E57,2)/60</f>
        <v>233.33333333333334</v>
      </c>
    </row>
    <row r="58" spans="1:8" x14ac:dyDescent="0.2">
      <c r="A58" s="6">
        <v>2</v>
      </c>
      <c r="B58" s="230" t="s">
        <v>231</v>
      </c>
      <c r="C58" s="6" t="s">
        <v>118</v>
      </c>
      <c r="D58" s="8">
        <v>1</v>
      </c>
      <c r="E58" s="10">
        <v>250</v>
      </c>
      <c r="F58" s="10">
        <f>ROUND(D58*E58,2)/12</f>
        <v>20.833333333333332</v>
      </c>
    </row>
    <row r="59" spans="1:8" x14ac:dyDescent="0.2">
      <c r="A59" s="6">
        <v>3</v>
      </c>
      <c r="B59" s="230" t="s">
        <v>232</v>
      </c>
      <c r="C59" s="6" t="s">
        <v>233</v>
      </c>
      <c r="D59" s="8">
        <v>1500</v>
      </c>
      <c r="E59" s="10">
        <f>(6*D59)/30</f>
        <v>300</v>
      </c>
      <c r="F59" s="10">
        <f>E59</f>
        <v>300</v>
      </c>
    </row>
    <row r="60" spans="1:8" x14ac:dyDescent="0.2">
      <c r="A60" s="6">
        <v>4</v>
      </c>
      <c r="B60" s="230" t="s">
        <v>433</v>
      </c>
      <c r="C60" s="6" t="s">
        <v>118</v>
      </c>
      <c r="D60" s="8">
        <v>1</v>
      </c>
      <c r="E60" s="10">
        <v>300</v>
      </c>
      <c r="F60" s="10">
        <f>ROUND(D60*E60,2)/12</f>
        <v>25</v>
      </c>
    </row>
    <row r="61" spans="1:8" x14ac:dyDescent="0.2">
      <c r="A61" s="6">
        <v>5</v>
      </c>
      <c r="B61" s="230" t="s">
        <v>434</v>
      </c>
      <c r="C61" s="6" t="s">
        <v>118</v>
      </c>
      <c r="D61" s="8">
        <v>1</v>
      </c>
      <c r="E61" s="10">
        <v>350</v>
      </c>
      <c r="F61" s="10">
        <f>ROUND(D61*E61,2)/12</f>
        <v>29.166666666666668</v>
      </c>
    </row>
    <row r="62" spans="1:8" x14ac:dyDescent="0.2">
      <c r="E62" s="155">
        <f>SUM(E57:E61)</f>
        <v>15200</v>
      </c>
      <c r="F62" s="155">
        <f>SUM(F57:F61)</f>
        <v>608.33333333333337</v>
      </c>
    </row>
  </sheetData>
  <mergeCells count="12">
    <mergeCell ref="A1:F1"/>
    <mergeCell ref="A3:F3"/>
    <mergeCell ref="A39:E39"/>
    <mergeCell ref="A40:F40"/>
    <mergeCell ref="A16:F16"/>
    <mergeCell ref="A14:D14"/>
    <mergeCell ref="A56:E56"/>
    <mergeCell ref="A25:F25"/>
    <mergeCell ref="A42:G42"/>
    <mergeCell ref="A54:F54"/>
    <mergeCell ref="A26:G26"/>
    <mergeCell ref="A53:E53"/>
  </mergeCells>
  <pageMargins left="0.51180555555555596" right="0.51180555555555596" top="0.78749999999999998" bottom="0.78749999999999998"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4</TotalTime>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Proposta</vt:lpstr>
      <vt:lpstr>Resumo</vt:lpstr>
      <vt:lpstr>Memória de Cálculo ES</vt:lpstr>
      <vt:lpstr>Planilha de Custos</vt:lpstr>
      <vt:lpstr>Insumos</vt:lpstr>
      <vt:lpstr>'Memória de Cálculo ES'!Area_de_impressao</vt:lpstr>
      <vt:lpstr>Proposta!Area_de_impressao</vt:lpstr>
      <vt:lpstr>Resumo!Area_de_impressao</vt:lpstr>
      <vt:lpstr>Resumo!Print_Area_0</vt:lpstr>
      <vt:lpstr>Resumo!Print_Area_0_0</vt:lpstr>
      <vt:lpstr>Resumo!Print_Area_0_0_0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Lance Online Multinegócios</dc:creator>
  <cp:lastModifiedBy>Luciene Cruz</cp:lastModifiedBy>
  <cp:revision>162</cp:revision>
  <cp:lastPrinted>2024-01-04T15:38:42Z</cp:lastPrinted>
  <dcterms:created xsi:type="dcterms:W3CDTF">2020-01-27T09:12:42Z</dcterms:created>
  <dcterms:modified xsi:type="dcterms:W3CDTF">2024-04-24T12:44:10Z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0x010100636461C4583E7D43A6B8F46B8E022446</vt:lpwstr>
  </property>
  <property fmtid="{D5CDD505-2E9C-101B-9397-08002B2CF9AE}" pid="3" name="HyperlinksChanged">
    <vt:bool>false</vt:bool>
  </property>
  <property fmtid="{D5CDD505-2E9C-101B-9397-08002B2CF9AE}" pid="4" name="LinksUpToDate">
    <vt:bool>false</vt:bool>
  </property>
  <property fmtid="{D5CDD505-2E9C-101B-9397-08002B2CF9AE}" pid="5" name="ScaleCrop">
    <vt:bool>false</vt:bool>
  </property>
  <property fmtid="{D5CDD505-2E9C-101B-9397-08002B2CF9AE}" pid="6" name="ShareDoc">
    <vt:bool>false</vt:bool>
  </property>
</Properties>
</file>